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2525" activeTab="3"/>
  </bookViews>
  <sheets>
    <sheet name="CRONOGRAMA" sheetId="25" r:id="rId1"/>
    <sheet name="RESUMO SERVIÇOS" sheetId="26" r:id="rId2"/>
    <sheet name="ORÇAMENTO" sheetId="11" r:id="rId3"/>
    <sheet name="MEMÓRIA" sheetId="9" r:id="rId4"/>
    <sheet name="COMP.01" sheetId="63" r:id="rId5"/>
    <sheet name="COMP2" sheetId="62" r:id="rId6"/>
    <sheet name="COMP3" sheetId="61" r:id="rId7"/>
    <sheet name="BDI" sheetId="60" r:id="rId8"/>
    <sheet name="PREENCHER" sheetId="57" state="hidden" r:id="rId9"/>
    <sheet name="DECLARAÇÃO" sheetId="58" state="hidden" r:id="rId10"/>
  </sheets>
  <externalReferences>
    <externalReference r:id="rId11"/>
    <externalReference r:id="rId12"/>
    <externalReference r:id="rId13"/>
    <externalReference r:id="rId14"/>
    <externalReference r:id="rId15"/>
    <externalReference r:id="rId16"/>
  </externalReferences>
  <definedNames>
    <definedName name="_xlnm.Print_Area" localSheetId="7">BDI!$A$4:$E$34</definedName>
    <definedName name="_xlnm.Print_Area" localSheetId="4">COMP.01!$B$2:$H$34</definedName>
    <definedName name="_xlnm.Print_Area" localSheetId="5">COMP2!$B$2:$K$39</definedName>
    <definedName name="_xlnm.Print_Area" localSheetId="6">COMP3!$B$2:$K$18</definedName>
    <definedName name="_xlnm.Print_Area" localSheetId="0">CRONOGRAMA!$A$1:$K$24</definedName>
    <definedName name="_xlnm.Print_Area" localSheetId="9">DECLARAÇÃO!$A$1:$J$43</definedName>
    <definedName name="_xlnm.Print_Area" localSheetId="3">MEMÓRIA!$A$1:$J$256</definedName>
    <definedName name="_xlnm.Print_Area" localSheetId="2">ORÇAMENTO!$A$1:$O$91</definedName>
    <definedName name="_xlnm.Print_Area" localSheetId="1">'RESUMO SERVIÇOS'!$A$1:$I$18</definedName>
    <definedName name="BASEDECALCULO">PREENCHER!$L$22:$M$22</definedName>
    <definedName name="BCALC">#REF!</definedName>
    <definedName name="bdi" localSheetId="7">'[1]Comparativo Av. Cristóvão'!#REF!</definedName>
    <definedName name="bdi" localSheetId="4">'[2]Comparativo Av. Cristóvão'!#REF!</definedName>
    <definedName name="bdi" localSheetId="6">'[3]Comparativo Av. Cristóvão'!#REF!</definedName>
    <definedName name="bdi">'[2]Comparativo Av. Cristóvão'!#REF!</definedName>
    <definedName name="CREACAU">PREENCHER!$H$14:$I$14</definedName>
    <definedName name="dados_re" localSheetId="4">[4]RE!$B$13:$P$37</definedName>
    <definedName name="dados_re" localSheetId="5">[4]RE!$B$13:$P$37</definedName>
    <definedName name="dados_re" localSheetId="6">[4]RE!$B$13:$P$37</definedName>
    <definedName name="dados_re">[5]RE!$B$13:$P$37</definedName>
    <definedName name="ENC">#REF!</definedName>
    <definedName name="ENCARGOS">PREENCHER!$L$19:$M$19</definedName>
    <definedName name="ente">PREENCHER!$H$5:$I$5</definedName>
    <definedName name="Excel_BuiltIn_Print_Area_1_1" localSheetId="2">#REF!</definedName>
    <definedName name="Excel_BuiltIn_Print_Area_1_1_1" localSheetId="2">#REF!</definedName>
    <definedName name="Excel_BuiltIn_Print_Area_1_1_1_1" localSheetId="2">#REF!</definedName>
    <definedName name="Excel_BuiltIn_Print_Area_2" localSheetId="2">#REF!</definedName>
    <definedName name="Excel_BuiltIn_Print_Area_6_1" localSheetId="7">#REF!</definedName>
    <definedName name="Excel_BuiltIn_Print_Area_6_1" localSheetId="4">#REF!</definedName>
    <definedName name="Excel_BuiltIn_Print_Area_6_1" localSheetId="6">#REF!</definedName>
    <definedName name="Excel_BuiltIn_Print_Area_6_1">#REF!</definedName>
    <definedName name="Excel_BuiltIn_Print_Titles_1" localSheetId="2">(#REF!,#REF!)</definedName>
    <definedName name="Excel_BuiltIn_Print_Titles_1_1" localSheetId="7">#REF!</definedName>
    <definedName name="Excel_BuiltIn_Print_Titles_1_1" localSheetId="4">#REF!</definedName>
    <definedName name="Excel_BuiltIn_Print_Titles_1_1" localSheetId="6">#REF!</definedName>
    <definedName name="Excel_BuiltIn_Print_Titles_1_1" localSheetId="2">(#REF!,#REF!)</definedName>
    <definedName name="Excel_BuiltIn_Print_Titles_1_1">#REF!</definedName>
    <definedName name="iv" localSheetId="4">#REF!</definedName>
    <definedName name="iv" localSheetId="6">#REF!</definedName>
    <definedName name="iv">#REF!</definedName>
    <definedName name="k" localSheetId="7">#REF!</definedName>
    <definedName name="k" localSheetId="4">#REF!</definedName>
    <definedName name="k" localSheetId="6">#REF!</definedName>
    <definedName name="k">#REF!</definedName>
    <definedName name="M" localSheetId="7">#REF!</definedName>
    <definedName name="M" localSheetId="4">#REF!</definedName>
    <definedName name="M" localSheetId="6">#REF!</definedName>
    <definedName name="M">#REF!</definedName>
    <definedName name="MAPA" localSheetId="4">#REF!</definedName>
    <definedName name="MAPA" localSheetId="6">#REF!</definedName>
    <definedName name="MAPA">#REF!</definedName>
    <definedName name="MCIDADES" localSheetId="4">#REF!</definedName>
    <definedName name="MCIDADES" localSheetId="6">#REF!</definedName>
    <definedName name="MCIDADES">#REF!</definedName>
    <definedName name="MDA" localSheetId="4">#REF!</definedName>
    <definedName name="MDA" localSheetId="6">#REF!</definedName>
    <definedName name="MDA">#REF!</definedName>
    <definedName name="MDS" localSheetId="4">#REF!</definedName>
    <definedName name="MDS" localSheetId="6">#REF!</definedName>
    <definedName name="MDS">#REF!</definedName>
    <definedName name="ME" localSheetId="4">#REF!</definedName>
    <definedName name="ME" localSheetId="6">#REF!</definedName>
    <definedName name="ME">#REF!</definedName>
    <definedName name="MMA" localSheetId="4">#REF!</definedName>
    <definedName name="MMA" localSheetId="6">#REF!</definedName>
    <definedName name="MMA">#REF!</definedName>
    <definedName name="MS" localSheetId="4">#REF!</definedName>
    <definedName name="MS" localSheetId="6">#REF!</definedName>
    <definedName name="MS">#REF!</definedName>
    <definedName name="MTUR" localSheetId="4">#REF!</definedName>
    <definedName name="MTUR" localSheetId="6">#REF!</definedName>
    <definedName name="MTUR">#REF!</definedName>
    <definedName name="o" localSheetId="4">#REF!</definedName>
    <definedName name="o" localSheetId="6">#REF!</definedName>
    <definedName name="o">#REF!</definedName>
    <definedName name="regime">PREENCHER!$G$19:$H$19</definedName>
    <definedName name="_xlnm.Print_Titles" localSheetId="3">MEMÓRIA!$1:$4</definedName>
    <definedName name="_xlnm.Print_Titles" localSheetId="2">ORÇAMENTO!$1:$10</definedName>
    <definedName name="TOTAL" localSheetId="7">#REF!</definedName>
    <definedName name="TOTAL" localSheetId="4">#REF!</definedName>
    <definedName name="TOTAL" localSheetId="6">#REF!</definedName>
    <definedName name="TOTAL">#REF!</definedName>
  </definedNames>
  <calcPr calcId="124519"/>
</workbook>
</file>

<file path=xl/calcChain.xml><?xml version="1.0" encoding="utf-8"?>
<calcChain xmlns="http://schemas.openxmlformats.org/spreadsheetml/2006/main">
  <c r="H249" i="9"/>
  <c r="J12" i="61"/>
  <c r="H29" i="63"/>
  <c r="H31" s="1"/>
  <c r="H22"/>
  <c r="H24" s="1"/>
  <c r="H18"/>
  <c r="H17"/>
  <c r="H16"/>
  <c r="H15"/>
  <c r="H14"/>
  <c r="H13"/>
  <c r="H12"/>
  <c r="H11"/>
  <c r="H10"/>
  <c r="H19" l="1"/>
  <c r="H25" s="1"/>
  <c r="H26" s="1"/>
  <c r="H32" s="1"/>
  <c r="I45" i="11" s="1"/>
  <c r="J11" i="61" l="1"/>
  <c r="J76" i="11"/>
  <c r="K29"/>
  <c r="L29" s="1"/>
  <c r="J25"/>
  <c r="K25" s="1"/>
  <c r="L25" s="1"/>
  <c r="H236" i="9"/>
  <c r="H59"/>
  <c r="K18" i="25"/>
  <c r="K15"/>
  <c r="K12"/>
  <c r="K9"/>
  <c r="K6"/>
  <c r="D113" i="9"/>
  <c r="H113" s="1"/>
  <c r="H99"/>
  <c r="D99"/>
  <c r="E53" i="11"/>
  <c r="F128" i="9"/>
  <c r="F139"/>
  <c r="H133"/>
  <c r="H127"/>
  <c r="H93"/>
  <c r="T6"/>
  <c r="F134" s="1"/>
  <c r="H128"/>
  <c r="H129" s="1"/>
  <c r="H94"/>
  <c r="H95" s="1"/>
  <c r="N6" i="25"/>
  <c r="H74" i="11"/>
  <c r="Q4" i="9"/>
  <c r="Q5" s="1"/>
  <c r="H66" s="1"/>
  <c r="J75" i="11"/>
  <c r="E249" i="9"/>
  <c r="H75" i="11" s="1"/>
  <c r="H242" i="9"/>
  <c r="H71" i="11" s="1"/>
  <c r="E231" i="9"/>
  <c r="H231" s="1"/>
  <c r="E228"/>
  <c r="H228" s="1"/>
  <c r="E229"/>
  <c r="H229" s="1"/>
  <c r="E230"/>
  <c r="H230" s="1"/>
  <c r="E227"/>
  <c r="H227" s="1"/>
  <c r="E226"/>
  <c r="H226" s="1"/>
  <c r="E225"/>
  <c r="H225" s="1"/>
  <c r="F231"/>
  <c r="F225"/>
  <c r="F226"/>
  <c r="F227"/>
  <c r="F228"/>
  <c r="F229"/>
  <c r="F230"/>
  <c r="F224"/>
  <c r="C232"/>
  <c r="H215"/>
  <c r="H216"/>
  <c r="H217"/>
  <c r="H214"/>
  <c r="H65" i="11"/>
  <c r="H64"/>
  <c r="H63"/>
  <c r="H62"/>
  <c r="H61"/>
  <c r="H60"/>
  <c r="F185" i="9"/>
  <c r="E185"/>
  <c r="E184"/>
  <c r="D180"/>
  <c r="H180" s="1"/>
  <c r="H57" i="11" s="1"/>
  <c r="D179" i="9"/>
  <c r="H179" s="1"/>
  <c r="H55" i="11" s="1"/>
  <c r="D175" i="9"/>
  <c r="H175" s="1"/>
  <c r="H56" i="11" s="1"/>
  <c r="D174" i="9"/>
  <c r="H174" s="1"/>
  <c r="H54" i="11" s="1"/>
  <c r="J53"/>
  <c r="K76" l="1"/>
  <c r="F141" i="9"/>
  <c r="H139"/>
  <c r="H218"/>
  <c r="H68" i="11" s="1"/>
  <c r="H63" i="9"/>
  <c r="K75" i="11"/>
  <c r="M75" s="1"/>
  <c r="O75"/>
  <c r="F232" i="9"/>
  <c r="H70" i="11" s="1"/>
  <c r="K53"/>
  <c r="L53" s="1"/>
  <c r="L76" l="1"/>
  <c r="H70" i="9"/>
  <c r="N75" i="11"/>
  <c r="L75"/>
  <c r="G141" i="9" l="1"/>
  <c r="E141"/>
  <c r="E134"/>
  <c r="H134" s="1"/>
  <c r="H135" s="1"/>
  <c r="T5"/>
  <c r="F114" s="1"/>
  <c r="E114"/>
  <c r="T4"/>
  <c r="F100" s="1"/>
  <c r="E100"/>
  <c r="H36" i="11"/>
  <c r="H76" s="1"/>
  <c r="H35" i="9"/>
  <c r="H34"/>
  <c r="H87"/>
  <c r="H86"/>
  <c r="O76" i="11" l="1"/>
  <c r="M76"/>
  <c r="H100" i="9"/>
  <c r="H101" s="1"/>
  <c r="H37" i="11" s="1"/>
  <c r="H114" i="9"/>
  <c r="H115" s="1"/>
  <c r="H119" s="1"/>
  <c r="H41" i="11" s="1"/>
  <c r="H43"/>
  <c r="H141" i="9"/>
  <c r="H44" i="11"/>
  <c r="H88" i="9"/>
  <c r="H33" i="11" s="1"/>
  <c r="N76" l="1"/>
  <c r="H142" i="9"/>
  <c r="H105"/>
  <c r="H38" i="11" s="1"/>
  <c r="H45"/>
  <c r="H150" i="9" l="1"/>
  <c r="H146"/>
  <c r="H46" i="11" s="1"/>
  <c r="H13"/>
  <c r="H81" i="9"/>
  <c r="H27" i="11"/>
  <c r="H36" i="9"/>
  <c r="H51" s="1"/>
  <c r="E15"/>
  <c r="E14"/>
  <c r="H14" s="1"/>
  <c r="H78" l="1"/>
  <c r="H74"/>
  <c r="H30" i="11" s="1"/>
  <c r="H55" i="9"/>
  <c r="H24" i="11" s="1"/>
  <c r="H32"/>
  <c r="H28"/>
  <c r="H44" i="9"/>
  <c r="H21" i="11" s="1"/>
  <c r="H19"/>
  <c r="H23"/>
  <c r="H40" i="9"/>
  <c r="H20" i="11" s="1"/>
  <c r="H48" i="9"/>
  <c r="H22" i="11" s="1"/>
  <c r="H37" i="9"/>
  <c r="J63" i="11" l="1"/>
  <c r="K63" s="1"/>
  <c r="M63" s="1"/>
  <c r="J62"/>
  <c r="K62" s="1"/>
  <c r="J61"/>
  <c r="K61" s="1"/>
  <c r="J60"/>
  <c r="K60" s="1"/>
  <c r="J32"/>
  <c r="K32" l="1"/>
  <c r="O32"/>
  <c r="L63"/>
  <c r="O63"/>
  <c r="N63" s="1"/>
  <c r="M62"/>
  <c r="L62"/>
  <c r="O62"/>
  <c r="M61"/>
  <c r="L61"/>
  <c r="O61"/>
  <c r="M60"/>
  <c r="L60"/>
  <c r="O60"/>
  <c r="L32" l="1"/>
  <c r="M32"/>
  <c r="N32" s="1"/>
  <c r="N60"/>
  <c r="N62"/>
  <c r="N61"/>
  <c r="J47" l="1"/>
  <c r="K34" i="62"/>
  <c r="K33"/>
  <c r="K31"/>
  <c r="K30"/>
  <c r="K29"/>
  <c r="K26"/>
  <c r="K25"/>
  <c r="K24"/>
  <c r="K23"/>
  <c r="K22"/>
  <c r="K21"/>
  <c r="K20"/>
  <c r="K19"/>
  <c r="K18"/>
  <c r="K17"/>
  <c r="K13"/>
  <c r="K12"/>
  <c r="K11"/>
  <c r="K14"/>
  <c r="J70" i="11"/>
  <c r="K70" s="1"/>
  <c r="K27" i="62" l="1"/>
  <c r="K47" i="11"/>
  <c r="O70"/>
  <c r="K35" i="62"/>
  <c r="K15"/>
  <c r="L70" i="11"/>
  <c r="M70"/>
  <c r="L47" l="1"/>
  <c r="N70"/>
  <c r="K36" i="62"/>
  <c r="K37" s="1"/>
  <c r="I74" i="11" s="1"/>
  <c r="K12" i="61" l="1"/>
  <c r="K11"/>
  <c r="K15" l="1"/>
  <c r="K16" s="1"/>
  <c r="I84" i="11" s="1"/>
  <c r="J84" s="1"/>
  <c r="K84" s="1"/>
  <c r="M84" s="1"/>
  <c r="O84" l="1"/>
  <c r="L84"/>
  <c r="N84" l="1"/>
  <c r="C18" i="60"/>
  <c r="C32" s="1"/>
  <c r="D166" i="9" l="1"/>
  <c r="H166" s="1"/>
  <c r="H157"/>
  <c r="D185" s="1"/>
  <c r="E180"/>
  <c r="E175"/>
  <c r="E179"/>
  <c r="D165"/>
  <c r="H165" s="1"/>
  <c r="G185" l="1"/>
  <c r="H185" s="1"/>
  <c r="H167"/>
  <c r="H109"/>
  <c r="H170" l="1"/>
  <c r="H53" i="11" s="1"/>
  <c r="H52"/>
  <c r="H39"/>
  <c r="H40"/>
  <c r="H77" s="1"/>
  <c r="O53" l="1"/>
  <c r="M53"/>
  <c r="E59"/>
  <c r="E46"/>
  <c r="E41"/>
  <c r="E38"/>
  <c r="E24"/>
  <c r="E16"/>
  <c r="E30" s="1"/>
  <c r="C3" i="9"/>
  <c r="A3" i="25"/>
  <c r="A5" i="26"/>
  <c r="C4" i="9"/>
  <c r="N53" i="11" l="1"/>
  <c r="E21"/>
  <c r="B42" i="58"/>
  <c r="B41"/>
  <c r="B37"/>
  <c r="B36"/>
  <c r="E21"/>
  <c r="E20"/>
  <c r="E18"/>
  <c r="E17"/>
  <c r="E16"/>
  <c r="E15"/>
  <c r="E14"/>
  <c r="D11"/>
  <c r="B7"/>
  <c r="B6"/>
  <c r="B5"/>
  <c r="B4"/>
  <c r="J51" i="57"/>
  <c r="I51" s="1"/>
  <c r="G43"/>
  <c r="E23" i="58" s="1"/>
  <c r="G42" i="57"/>
  <c r="E22" i="58" s="1"/>
  <c r="G39" i="57"/>
  <c r="G51" s="1"/>
  <c r="J38"/>
  <c r="I38" s="1"/>
  <c r="G18" i="58" s="1"/>
  <c r="H38" i="57"/>
  <c r="F18" i="58" s="1"/>
  <c r="J37" i="57"/>
  <c r="I37" s="1"/>
  <c r="G17" i="58" s="1"/>
  <c r="J36" i="57"/>
  <c r="I36" s="1"/>
  <c r="G16" i="58" s="1"/>
  <c r="J35" i="57"/>
  <c r="I35" s="1"/>
  <c r="G15" i="58" s="1"/>
  <c r="J34" i="57"/>
  <c r="I34" s="1"/>
  <c r="G14" i="58" s="1"/>
  <c r="H34" i="57"/>
  <c r="F14" i="58" s="1"/>
  <c r="E11" i="57"/>
  <c r="E33" i="58" s="1"/>
  <c r="G6" i="57"/>
  <c r="F5"/>
  <c r="J42" i="11" l="1"/>
  <c r="K42" s="1"/>
  <c r="L42" s="1"/>
  <c r="J39"/>
  <c r="O39" s="1"/>
  <c r="J37"/>
  <c r="O37" s="1"/>
  <c r="J38"/>
  <c r="O38" s="1"/>
  <c r="J57"/>
  <c r="K57" s="1"/>
  <c r="M57" s="1"/>
  <c r="J56"/>
  <c r="J64"/>
  <c r="K64" s="1"/>
  <c r="M64" s="1"/>
  <c r="J65"/>
  <c r="H36" i="57"/>
  <c r="F16" i="58" s="1"/>
  <c r="H37" i="57"/>
  <c r="F17" i="58" s="1"/>
  <c r="H51" i="57"/>
  <c r="J52"/>
  <c r="F29" i="58"/>
  <c r="L40" i="57"/>
  <c r="L38"/>
  <c r="L37"/>
  <c r="L36"/>
  <c r="L35"/>
  <c r="L34"/>
  <c r="B51"/>
  <c r="L41"/>
  <c r="E19" i="58"/>
  <c r="E30" s="1"/>
  <c r="B3" s="1"/>
  <c r="H35" i="57"/>
  <c r="F15" i="58" s="1"/>
  <c r="G44" i="57"/>
  <c r="G52" s="1"/>
  <c r="O64" i="11" l="1"/>
  <c r="N64" s="1"/>
  <c r="K38"/>
  <c r="M38" s="1"/>
  <c r="K39"/>
  <c r="M39" s="1"/>
  <c r="K37"/>
  <c r="M37" s="1"/>
  <c r="O57"/>
  <c r="N57" s="1"/>
  <c r="L57"/>
  <c r="K56"/>
  <c r="O65"/>
  <c r="K65"/>
  <c r="M65" s="1"/>
  <c r="L64"/>
  <c r="N37" l="1"/>
  <c r="L37"/>
  <c r="N38"/>
  <c r="N39"/>
  <c r="L39"/>
  <c r="L38"/>
  <c r="L56"/>
  <c r="L65"/>
  <c r="N65"/>
  <c r="H123" i="9" l="1"/>
  <c r="H42" i="11" l="1"/>
  <c r="H47"/>
  <c r="O47" s="1"/>
  <c r="M42" l="1"/>
  <c r="O42"/>
  <c r="M47"/>
  <c r="N42" l="1"/>
  <c r="N47"/>
  <c r="J14"/>
  <c r="J16"/>
  <c r="J19"/>
  <c r="O19" s="1"/>
  <c r="J21"/>
  <c r="O21" s="1"/>
  <c r="J23"/>
  <c r="O23" s="1"/>
  <c r="J27"/>
  <c r="O27" s="1"/>
  <c r="J30"/>
  <c r="J33"/>
  <c r="J15"/>
  <c r="J17"/>
  <c r="J20"/>
  <c r="O20" s="1"/>
  <c r="J22"/>
  <c r="O22" s="1"/>
  <c r="J24"/>
  <c r="O24" s="1"/>
  <c r="J28"/>
  <c r="J31"/>
  <c r="J54"/>
  <c r="K54" s="1"/>
  <c r="J55"/>
  <c r="J59"/>
  <c r="J41"/>
  <c r="O41" s="1"/>
  <c r="J43"/>
  <c r="O43" s="1"/>
  <c r="J45"/>
  <c r="O45" s="1"/>
  <c r="J52"/>
  <c r="J58"/>
  <c r="J40"/>
  <c r="O40" s="1"/>
  <c r="J44"/>
  <c r="O44" s="1"/>
  <c r="J46"/>
  <c r="O46" s="1"/>
  <c r="J51"/>
  <c r="K51" s="1"/>
  <c r="K33" l="1"/>
  <c r="O33"/>
  <c r="K31"/>
  <c r="O30"/>
  <c r="K30"/>
  <c r="O28"/>
  <c r="K28"/>
  <c r="L54"/>
  <c r="L51"/>
  <c r="K24"/>
  <c r="L24" s="1"/>
  <c r="K20"/>
  <c r="K15"/>
  <c r="L15" s="1"/>
  <c r="K23"/>
  <c r="L23" s="1"/>
  <c r="K19"/>
  <c r="L19" s="1"/>
  <c r="K14"/>
  <c r="L14" s="1"/>
  <c r="O52"/>
  <c r="K52"/>
  <c r="K22"/>
  <c r="L22" s="1"/>
  <c r="K17"/>
  <c r="K27"/>
  <c r="M27" s="1"/>
  <c r="K21"/>
  <c r="L21" s="1"/>
  <c r="K16"/>
  <c r="L33" l="1"/>
  <c r="M33"/>
  <c r="N33" s="1"/>
  <c r="L31"/>
  <c r="L30"/>
  <c r="M30"/>
  <c r="N30" s="1"/>
  <c r="L28"/>
  <c r="M28"/>
  <c r="N28" s="1"/>
  <c r="M52"/>
  <c r="N52" s="1"/>
  <c r="L52"/>
  <c r="L27"/>
  <c r="N27"/>
  <c r="L17"/>
  <c r="L20"/>
  <c r="L16"/>
  <c r="J79" l="1"/>
  <c r="O79" s="1"/>
  <c r="J77"/>
  <c r="O77" s="1"/>
  <c r="J81"/>
  <c r="O81" s="1"/>
  <c r="J83"/>
  <c r="O83" s="1"/>
  <c r="J82"/>
  <c r="O82" s="1"/>
  <c r="K79" l="1"/>
  <c r="M79" s="1"/>
  <c r="N79" s="1"/>
  <c r="K77"/>
  <c r="M77" s="1"/>
  <c r="N77" s="1"/>
  <c r="K82"/>
  <c r="M82" s="1"/>
  <c r="N82" s="1"/>
  <c r="K81"/>
  <c r="M81" s="1"/>
  <c r="N81" s="1"/>
  <c r="K83"/>
  <c r="M83" s="1"/>
  <c r="N83" s="1"/>
  <c r="L79" l="1"/>
  <c r="L77"/>
  <c r="L82"/>
  <c r="L81"/>
  <c r="L83"/>
  <c r="O56" l="1"/>
  <c r="M56"/>
  <c r="N56" l="1"/>
  <c r="N18" i="25" l="1"/>
  <c r="N15"/>
  <c r="N12"/>
  <c r="N9"/>
  <c r="H156" i="9" l="1"/>
  <c r="D184" s="1"/>
  <c r="H31" i="11" l="1"/>
  <c r="H29"/>
  <c r="H75" i="9"/>
  <c r="H15"/>
  <c r="F184"/>
  <c r="O31" i="11" l="1"/>
  <c r="M31"/>
  <c r="M29"/>
  <c r="O29"/>
  <c r="H79" i="9"/>
  <c r="E174"/>
  <c r="H158"/>
  <c r="N29" i="11" l="1"/>
  <c r="N31"/>
  <c r="H160" i="9"/>
  <c r="H50" i="11" s="1"/>
  <c r="M21"/>
  <c r="M19"/>
  <c r="J69"/>
  <c r="K69" s="1"/>
  <c r="L69" s="1"/>
  <c r="J68"/>
  <c r="K68" s="1"/>
  <c r="L68" s="1"/>
  <c r="J50"/>
  <c r="J71"/>
  <c r="J36"/>
  <c r="O36" s="1"/>
  <c r="O55"/>
  <c r="J74"/>
  <c r="O74" s="1"/>
  <c r="O85" s="1"/>
  <c r="J13"/>
  <c r="O13" s="1"/>
  <c r="H17" i="26" l="1"/>
  <c r="M8" i="25" s="1"/>
  <c r="N19" i="11"/>
  <c r="N21"/>
  <c r="K71"/>
  <c r="O71"/>
  <c r="H161" i="9"/>
  <c r="H51" i="11" s="1"/>
  <c r="K46"/>
  <c r="L46" s="1"/>
  <c r="K13"/>
  <c r="XEM158" i="9"/>
  <c r="O50" i="11"/>
  <c r="L71" l="1"/>
  <c r="M71"/>
  <c r="N71" s="1"/>
  <c r="O51"/>
  <c r="M51"/>
  <c r="H224" i="9"/>
  <c r="H232" s="1"/>
  <c r="H69" i="11" s="1"/>
  <c r="M69" l="1"/>
  <c r="O69"/>
  <c r="N51"/>
  <c r="N69" l="1"/>
  <c r="O68"/>
  <c r="O72" s="1"/>
  <c r="H15" i="26" s="1"/>
  <c r="M20" i="25" s="1"/>
  <c r="M68" i="11"/>
  <c r="M54"/>
  <c r="O54"/>
  <c r="I20" i="25" l="1"/>
  <c r="N68" i="11"/>
  <c r="N54"/>
  <c r="G184" i="9"/>
  <c r="H184" s="1"/>
  <c r="H186" s="1"/>
  <c r="H190" l="1"/>
  <c r="H59" i="11" s="1"/>
  <c r="H58"/>
  <c r="O59" l="1"/>
  <c r="O58" l="1"/>
  <c r="O66" s="1"/>
  <c r="H13" i="26" s="1"/>
  <c r="M17" i="25" s="1"/>
  <c r="C21" i="11" l="1"/>
  <c r="C30" s="1"/>
  <c r="M20" l="1"/>
  <c r="H25" l="1"/>
  <c r="N20"/>
  <c r="M22"/>
  <c r="M25" l="1"/>
  <c r="O25"/>
  <c r="M24"/>
  <c r="M23"/>
  <c r="N22"/>
  <c r="K74"/>
  <c r="M74" s="1"/>
  <c r="N74" s="1"/>
  <c r="N25" l="1"/>
  <c r="N23"/>
  <c r="N24"/>
  <c r="K59"/>
  <c r="M59" s="1"/>
  <c r="N59" s="1"/>
  <c r="K58"/>
  <c r="M58" s="1"/>
  <c r="N58" s="1"/>
  <c r="K41"/>
  <c r="M41" s="1"/>
  <c r="N41" s="1"/>
  <c r="K36"/>
  <c r="M36" s="1"/>
  <c r="M13"/>
  <c r="K50"/>
  <c r="K44"/>
  <c r="M44" s="1"/>
  <c r="N44" s="1"/>
  <c r="K43"/>
  <c r="M43" s="1"/>
  <c r="N43" s="1"/>
  <c r="K40"/>
  <c r="M40" s="1"/>
  <c r="N40" s="1"/>
  <c r="K45"/>
  <c r="M45" s="1"/>
  <c r="N45" s="1"/>
  <c r="K55"/>
  <c r="M55" s="1"/>
  <c r="N55" s="1"/>
  <c r="N36" l="1"/>
  <c r="L50"/>
  <c r="M50"/>
  <c r="L59"/>
  <c r="L58"/>
  <c r="L41"/>
  <c r="L45"/>
  <c r="L36"/>
  <c r="L43"/>
  <c r="N13"/>
  <c r="L55"/>
  <c r="L40"/>
  <c r="L44"/>
  <c r="L13"/>
  <c r="N50" l="1"/>
  <c r="N66" s="1"/>
  <c r="M66"/>
  <c r="M72"/>
  <c r="N72"/>
  <c r="K20" i="25" l="1"/>
  <c r="C17" l="1"/>
  <c r="G17"/>
  <c r="I17"/>
  <c r="E17"/>
  <c r="M85" i="11"/>
  <c r="K17" i="25" l="1"/>
  <c r="N85" i="11"/>
  <c r="E8" i="25" l="1"/>
  <c r="C8"/>
  <c r="I8"/>
  <c r="G8"/>
  <c r="K8" l="1"/>
  <c r="M46" i="11"/>
  <c r="O48"/>
  <c r="H11" i="26" s="1"/>
  <c r="M14" i="25" s="1"/>
  <c r="M48" i="11" l="1"/>
  <c r="N46"/>
  <c r="N48" l="1"/>
  <c r="C14" i="25" l="1"/>
  <c r="E14"/>
  <c r="G14"/>
  <c r="I14"/>
  <c r="K14" l="1"/>
  <c r="H16" i="9" l="1"/>
  <c r="H28" l="1"/>
  <c r="H17" i="11" s="1"/>
  <c r="O17" s="1"/>
  <c r="H14"/>
  <c r="O14" s="1"/>
  <c r="H20" i="9"/>
  <c r="H24" s="1"/>
  <c r="M17" i="11" l="1"/>
  <c r="H16"/>
  <c r="O16" s="1"/>
  <c r="H15"/>
  <c r="O15" s="1"/>
  <c r="M14"/>
  <c r="M15" l="1"/>
  <c r="N17"/>
  <c r="N14"/>
  <c r="M16"/>
  <c r="O34" l="1"/>
  <c r="O87" s="1"/>
  <c r="M34"/>
  <c r="M87" s="1"/>
  <c r="N15"/>
  <c r="N16"/>
  <c r="H9" i="26" l="1"/>
  <c r="N34" i="11"/>
  <c r="N87" s="1"/>
  <c r="M11" i="25" l="1"/>
  <c r="H18" i="26"/>
  <c r="I9" s="1"/>
  <c r="R87" i="11"/>
  <c r="R85"/>
  <c r="I17" i="26" l="1"/>
  <c r="I15"/>
  <c r="I11"/>
  <c r="I13"/>
  <c r="M24" i="25"/>
  <c r="C11"/>
  <c r="C22" s="1"/>
  <c r="E11"/>
  <c r="E22" s="1"/>
  <c r="I11"/>
  <c r="I22" s="1"/>
  <c r="G11"/>
  <c r="G22" s="1"/>
  <c r="I18" i="26" l="1"/>
  <c r="C21" i="25"/>
  <c r="C23" s="1"/>
  <c r="I21"/>
  <c r="E21"/>
  <c r="G21"/>
  <c r="K11"/>
  <c r="C24"/>
  <c r="E24" s="1"/>
  <c r="G24" s="1"/>
  <c r="I24" s="1"/>
  <c r="E23" l="1"/>
  <c r="G23" s="1"/>
  <c r="I23" s="1"/>
</calcChain>
</file>

<file path=xl/sharedStrings.xml><?xml version="1.0" encoding="utf-8"?>
<sst xmlns="http://schemas.openxmlformats.org/spreadsheetml/2006/main" count="1305" uniqueCount="644">
  <si>
    <t xml:space="preserve">TOTAL  DO  ORÇAMENTO  </t>
  </si>
  <si>
    <t>km</t>
  </si>
  <si>
    <t>DMT=</t>
  </si>
  <si>
    <t>Transporte comercial em rodovia pavimentada - CBUQ</t>
  </si>
  <si>
    <t>Imprimação de base com CM-30</t>
  </si>
  <si>
    <t>Placa de obra em chapa de aço galvanizado</t>
  </si>
  <si>
    <t>Unid</t>
  </si>
  <si>
    <t>unid</t>
  </si>
  <si>
    <t xml:space="preserve"> </t>
  </si>
  <si>
    <t>5.3</t>
  </si>
  <si>
    <t>5.2</t>
  </si>
  <si>
    <t>5.1</t>
  </si>
  <si>
    <t>SINALIZAÇÃO</t>
  </si>
  <si>
    <t>4.4</t>
  </si>
  <si>
    <t>4.3</t>
  </si>
  <si>
    <t>4.2</t>
  </si>
  <si>
    <t>m</t>
  </si>
  <si>
    <t>4.1</t>
  </si>
  <si>
    <t>SUB-TOTAL (3) &gt;&gt;&gt;&gt;&gt;</t>
  </si>
  <si>
    <t>3.16</t>
  </si>
  <si>
    <t>3.15</t>
  </si>
  <si>
    <t>3.14</t>
  </si>
  <si>
    <t>3.13</t>
  </si>
  <si>
    <t>Reaterro e compactação de valas</t>
  </si>
  <si>
    <t>3.12</t>
  </si>
  <si>
    <t>3.11</t>
  </si>
  <si>
    <t>3.10</t>
  </si>
  <si>
    <t>Assentamento de tubos de concreto - D=0,60m</t>
  </si>
  <si>
    <t>3.9</t>
  </si>
  <si>
    <t>3.8</t>
  </si>
  <si>
    <t>3.7</t>
  </si>
  <si>
    <t>3.6</t>
  </si>
  <si>
    <t>3.5</t>
  </si>
  <si>
    <t>3.4</t>
  </si>
  <si>
    <t>3.3</t>
  </si>
  <si>
    <t>3.2</t>
  </si>
  <si>
    <t>Escavação mecânica de valas em 1a cat.</t>
  </si>
  <si>
    <t>3.1</t>
  </si>
  <si>
    <t>DRENAGEM</t>
  </si>
  <si>
    <t>SUB-TOTAL (2) &gt;&gt;&gt;&gt;&gt;</t>
  </si>
  <si>
    <t>2.8</t>
  </si>
  <si>
    <t>2.7</t>
  </si>
  <si>
    <t>2.6</t>
  </si>
  <si>
    <t>2.5</t>
  </si>
  <si>
    <t>2.4</t>
  </si>
  <si>
    <t>2.3</t>
  </si>
  <si>
    <t>2.2</t>
  </si>
  <si>
    <t>Regularização e compactação do sub-leito</t>
  </si>
  <si>
    <t>2.1</t>
  </si>
  <si>
    <t>PAVIMENTAÇÃO</t>
  </si>
  <si>
    <t>SUB-TOTAL (1)  &gt;&gt;&gt;&gt;&gt;</t>
  </si>
  <si>
    <t>Espalhamento de material - bota fora</t>
  </si>
  <si>
    <t>1.3</t>
  </si>
  <si>
    <t>1.2</t>
  </si>
  <si>
    <t>1.1</t>
  </si>
  <si>
    <t>TERRAPLENAGEM</t>
  </si>
  <si>
    <t>Total</t>
  </si>
  <si>
    <t>Valor Total                (R$)</t>
  </si>
  <si>
    <t>Valor Unitário (R$)</t>
  </si>
  <si>
    <t>Quantitativos</t>
  </si>
  <si>
    <t>Descrição</t>
  </si>
  <si>
    <t>Código SINAPI</t>
  </si>
  <si>
    <t>Ítem</t>
  </si>
  <si>
    <t>LARGURA PISTA (m)</t>
  </si>
  <si>
    <t>EXTENSÃO (m):</t>
  </si>
  <si>
    <t>TRECHO:</t>
  </si>
  <si>
    <t>LOGRADOURO:</t>
  </si>
  <si>
    <t>Limpeza de terreno - raspagem mecanizada de camada vegetal</t>
  </si>
  <si>
    <t>Escavação mecânica de valas (Solo com água), c/ profundidade até 1,50m</t>
  </si>
  <si>
    <t>t</t>
  </si>
  <si>
    <t>2.9</t>
  </si>
  <si>
    <t>CRONOGRAMA FÍSICO-FINANCEIRO</t>
  </si>
  <si>
    <t>ITEM</t>
  </si>
  <si>
    <t>SERVIÇOS</t>
  </si>
  <si>
    <t>TOTAL</t>
  </si>
  <si>
    <t>1.</t>
  </si>
  <si>
    <t>2.</t>
  </si>
  <si>
    <t>Terraplenagem</t>
  </si>
  <si>
    <t>3.</t>
  </si>
  <si>
    <t>Pavimentação</t>
  </si>
  <si>
    <t>4.</t>
  </si>
  <si>
    <t>5.</t>
  </si>
  <si>
    <t>RESUMO GERAL SERVIÇOS</t>
  </si>
  <si>
    <t>Serviço</t>
  </si>
  <si>
    <t xml:space="preserve">                                                                  SUB-TOTAL (3) &gt;&gt;&gt;&gt;&gt;</t>
  </si>
  <si>
    <t>Serviços Iniciais</t>
  </si>
  <si>
    <t>1.1.1</t>
  </si>
  <si>
    <t>1.1.2</t>
  </si>
  <si>
    <t>1.1.3</t>
  </si>
  <si>
    <t>Remoções Solos Inadequados</t>
  </si>
  <si>
    <t>m²</t>
  </si>
  <si>
    <t>m³</t>
  </si>
  <si>
    <t>Subtituição Solos Inadequados c/ pedra rachão, material, espalhamento e compactação</t>
  </si>
  <si>
    <t>Movimentação Terra - Greide</t>
  </si>
  <si>
    <t>1.2.1</t>
  </si>
  <si>
    <t>1.2.2</t>
  </si>
  <si>
    <t>1.2.3</t>
  </si>
  <si>
    <t>1.2.4</t>
  </si>
  <si>
    <t>1.2.5</t>
  </si>
  <si>
    <t>1.3.1</t>
  </si>
  <si>
    <t>Preço Unitário (R$)</t>
  </si>
  <si>
    <t>Preço Unitário c/ BDI (R$)</t>
  </si>
  <si>
    <t>Material</t>
  </si>
  <si>
    <t>Mão-de-Obra</t>
  </si>
  <si>
    <t>Valor Total (R$)</t>
  </si>
  <si>
    <t>Compactação de aterros - 100% PN</t>
  </si>
  <si>
    <t>1.3.2</t>
  </si>
  <si>
    <t>1.3.3</t>
  </si>
  <si>
    <t>1.3.4</t>
  </si>
  <si>
    <t>SUB-TOTAL (2)  &gt;&gt;&gt;&gt;&gt;</t>
  </si>
  <si>
    <t>Base de brita graduada, exclusive transporte</t>
  </si>
  <si>
    <t>73822/002</t>
  </si>
  <si>
    <t>SUB-TOTAL (5) &gt;&gt;&gt;&gt;&gt;</t>
  </si>
  <si>
    <t>Sinalização horizontal com tinta acrílica retrorefletiva</t>
  </si>
  <si>
    <t>Placa de sinalização semi-refletiva sem suporte</t>
  </si>
  <si>
    <t>Suporte de aço galvanizado D=2"</t>
  </si>
  <si>
    <t>5.4</t>
  </si>
  <si>
    <t>5.5</t>
  </si>
  <si>
    <t>BDI:</t>
  </si>
  <si>
    <t>Item</t>
  </si>
  <si>
    <t>ÁREA TOTAL =</t>
  </si>
  <si>
    <t>●</t>
  </si>
  <si>
    <t>1.1.4</t>
  </si>
  <si>
    <t>74209/001</t>
  </si>
  <si>
    <t>Placa de obra</t>
  </si>
  <si>
    <t>Espalhamento material bota-fora</t>
  </si>
  <si>
    <t>VOLUME TOTAL DE MATERIAL ESCAVADO</t>
  </si>
  <si>
    <t>item 1.1.2 x 0,20m</t>
  </si>
  <si>
    <t>Remoção de Solos Inadequados</t>
  </si>
  <si>
    <t>Movimentação Greide</t>
  </si>
  <si>
    <t>Compactação de aterros</t>
  </si>
  <si>
    <t>Regularização e compactação do subleito</t>
  </si>
  <si>
    <t>Imprimação de base de pavimentação com emulsão CM-30</t>
  </si>
  <si>
    <t>Capa asfáltica em CBUQ com CAP 50/70</t>
  </si>
  <si>
    <t>EXTENSÃO TUBO X LARGURA (DIÂMETRO TUBO + FOLGA) X ALTURA ESCAVAÇÃO</t>
  </si>
  <si>
    <t>Fornecimento de tubos (m)</t>
  </si>
  <si>
    <t>EXTENSÃO TUBOS</t>
  </si>
  <si>
    <t>Assentamento de tubos (m)</t>
  </si>
  <si>
    <t>und.</t>
  </si>
  <si>
    <t>PLACA RETANGULAR</t>
  </si>
  <si>
    <t>OBSERVAÇÕES GERAIS:</t>
  </si>
  <si>
    <t>Adotados os encargos sociais estebelecidos pelo SINAPI;</t>
  </si>
  <si>
    <t>Serviços topográficos para pavimentação</t>
  </si>
  <si>
    <t>m³xkm</t>
  </si>
  <si>
    <t>Carga e descarga de mecânizada de solo</t>
  </si>
  <si>
    <t>1.1.5</t>
  </si>
  <si>
    <t>1.2.6</t>
  </si>
  <si>
    <t>VOLUME TOTAL DE MATERIAL LIMPEZA</t>
  </si>
  <si>
    <t>VOLUME TOTAL DE MATERIAL REMOVIDO</t>
  </si>
  <si>
    <t>VEÍCULOS DE APOIO</t>
  </si>
  <si>
    <t>VEÍCULOS DE GRANDE PORTE</t>
  </si>
  <si>
    <t>Motoniveladora</t>
  </si>
  <si>
    <t>Retroescavadeira</t>
  </si>
  <si>
    <t>VEÍCULOS DE PRODUÇÃO</t>
  </si>
  <si>
    <t>CUSTO TOTAL POR VIAGEM</t>
  </si>
  <si>
    <t>m³ x km</t>
  </si>
  <si>
    <t>Transporte comercial - brita</t>
  </si>
  <si>
    <t>Transporte comercial - base</t>
  </si>
  <si>
    <t>Transporte comercial - rachão</t>
  </si>
  <si>
    <t>EST. FIM</t>
  </si>
  <si>
    <t>LADO</t>
  </si>
  <si>
    <t>EST. INÍCIO</t>
  </si>
  <si>
    <t>EXT. (m)</t>
  </si>
  <si>
    <t>TOTAL (m²)</t>
  </si>
  <si>
    <t>LE</t>
  </si>
  <si>
    <t>ESPESSURA (m)</t>
  </si>
  <si>
    <t>Base de brita graduada, inclus. compactação</t>
  </si>
  <si>
    <t>Ext. (m)</t>
  </si>
  <si>
    <t>Largura (m)</t>
  </si>
  <si>
    <t>total</t>
  </si>
  <si>
    <t>VOLUME TOTAL DE MATERIAL ESCAVADO X EMPOLAMENTO  x DMT</t>
  </si>
  <si>
    <t>Unid.</t>
  </si>
  <si>
    <t>área (m²)</t>
  </si>
  <si>
    <t>Diâmetro (m)</t>
  </si>
  <si>
    <t>Folga (m)</t>
  </si>
  <si>
    <t>Vol. Esc. (m³)</t>
  </si>
  <si>
    <t>Transporte comercial - bota-fora</t>
  </si>
  <si>
    <t>Código SICRO2</t>
  </si>
  <si>
    <t>Preço unit. ( R$x h)</t>
  </si>
  <si>
    <t>Preço Total</t>
  </si>
  <si>
    <t>Caminhão carroceria</t>
  </si>
  <si>
    <t>un.</t>
  </si>
  <si>
    <t>Caminhão comboio lubrificante</t>
  </si>
  <si>
    <t>Escavadeira hidráulica</t>
  </si>
  <si>
    <t>Rolo compactador - Pé de carneiro</t>
  </si>
  <si>
    <t>Rolo compactador de pneus</t>
  </si>
  <si>
    <t>Rolo compactador tanden vibratório (liso)</t>
  </si>
  <si>
    <t>Vibroacabadora de asfalto</t>
  </si>
  <si>
    <t>Caminhão tanque 6.000 l</t>
  </si>
  <si>
    <t>LD</t>
  </si>
  <si>
    <t>Área tubos (m²)</t>
  </si>
  <si>
    <t>Vol. tubos (m³)</t>
  </si>
  <si>
    <t>DIAS</t>
  </si>
  <si>
    <t xml:space="preserve">Drenagem </t>
  </si>
  <si>
    <t xml:space="preserve">Sinalização </t>
  </si>
  <si>
    <t>Mensal</t>
  </si>
  <si>
    <t>Acumulado</t>
  </si>
  <si>
    <t>Obra:</t>
  </si>
  <si>
    <t>Item 1.2.1</t>
  </si>
  <si>
    <t>Diâmetro 0,60m</t>
  </si>
  <si>
    <t>Altura média (m)</t>
  </si>
  <si>
    <t>NÚMERO DE PLACAS X ÁREA DE CADA PLACAS</t>
  </si>
  <si>
    <t>AC</t>
  </si>
  <si>
    <t>R</t>
  </si>
  <si>
    <t>DF</t>
  </si>
  <si>
    <t>L</t>
  </si>
  <si>
    <t>I</t>
  </si>
  <si>
    <t>Extensão (m)</t>
  </si>
  <si>
    <t xml:space="preserve">                                                                  SUB-TOTAL (2) &gt;&gt;&gt;&gt;&gt;</t>
  </si>
  <si>
    <t xml:space="preserve">                                                                 SUB-TOTAL (5) &gt;&gt;&gt;&gt;&gt;</t>
  </si>
  <si>
    <t>Manobras e descarga de CBUQ, descarga em vibro-acabadora</t>
  </si>
  <si>
    <t>2.10</t>
  </si>
  <si>
    <t>Tipo PA</t>
  </si>
  <si>
    <t>Suportes</t>
  </si>
  <si>
    <t>MOBILIZAÇÃO, SERVIÇOS TOPOGRÁFICOS E ENSAIOS</t>
  </si>
  <si>
    <t>Mobilização, Serviços Topográficos e Ensaios</t>
  </si>
  <si>
    <t>74022/052</t>
  </si>
  <si>
    <t>Mobilização de equipamentos</t>
  </si>
  <si>
    <t>Data Orçamento:</t>
  </si>
  <si>
    <t>Data Base Preço:</t>
  </si>
  <si>
    <t>VOLUME TOTAL DE MATERIAL EXCEDENTE  X EMPOLAMENTO  x DMT</t>
  </si>
  <si>
    <t>Reaterro e compactação de valas (Vol. Esc. - Vol. Tubos)</t>
  </si>
  <si>
    <t>Boca de bueiro D=0,60m</t>
  </si>
  <si>
    <t>Boca de bueiro simples D=0,60m</t>
  </si>
  <si>
    <t>73856/002</t>
  </si>
  <si>
    <t>Ensaios p/ Concreto Asfáltico (CBUQ)</t>
  </si>
  <si>
    <t>74022/040</t>
  </si>
  <si>
    <t>Total Geral</t>
  </si>
  <si>
    <t>DETALHAMENTO DO B.D.I.</t>
  </si>
  <si>
    <t>G + S</t>
  </si>
  <si>
    <t>Garantia + Seguro</t>
  </si>
  <si>
    <t>%</t>
  </si>
  <si>
    <t>Do custo direto da obra</t>
  </si>
  <si>
    <t>Risco</t>
  </si>
  <si>
    <t>Despesas financeiras</t>
  </si>
  <si>
    <t>Administração central</t>
  </si>
  <si>
    <t>Lucro</t>
  </si>
  <si>
    <t>Impostos (PIS, Cofins, ISS, CPRB)</t>
  </si>
  <si>
    <t>PIS</t>
  </si>
  <si>
    <t>Confins</t>
  </si>
  <si>
    <t>ISS</t>
  </si>
  <si>
    <t>Taxas diversas</t>
  </si>
  <si>
    <t>B.D.I.</t>
  </si>
  <si>
    <t>BDI CALCULADO DE ACORDO COM AS RECOMENDAÇÕES DO TRIBUNAL DE CONTAS DA UNIÃO
FONTE:
- Acórdão Nº 2622/2013-P.</t>
  </si>
  <si>
    <t>73817/002</t>
  </si>
  <si>
    <t xml:space="preserve">Carga, manobras e descarga de mistura betuminosa a quente </t>
  </si>
  <si>
    <t>Fornecimento de tubos de concreto simples - PA-2 - D=0,60m</t>
  </si>
  <si>
    <t>2.11</t>
  </si>
  <si>
    <t>1.3.5</t>
  </si>
  <si>
    <t>VOLUME MATERIAL BASE x DMT x EMPOLAMENTO</t>
  </si>
  <si>
    <t>Escavação mecânica de valas</t>
  </si>
  <si>
    <t>3.1 e 3.2</t>
  </si>
  <si>
    <t>Lastro de brita c/ preparo fundo valas (10cm)</t>
  </si>
  <si>
    <t>Lastro em brita graduada 10 cm</t>
  </si>
  <si>
    <t>Esp. (10 cm)</t>
  </si>
  <si>
    <t>Valores unitários sem desoneração da mão de obra;</t>
  </si>
  <si>
    <t>LASTRO</t>
  </si>
  <si>
    <t>Data:</t>
  </si>
  <si>
    <t>NÃO É NECESSÁRIO IMPRIMIR ESTA ABA</t>
  </si>
  <si>
    <t>PREENCHA OS CAMPOS EM AMARELO E IMPRIMA A ABA "DECLARAÇÃO"</t>
  </si>
  <si>
    <t>Prefeitura Municipal de</t>
  </si>
  <si>
    <t>Empresa</t>
  </si>
  <si>
    <t>Tomador/Empresa:</t>
  </si>
  <si>
    <t>Presidente Lucena</t>
  </si>
  <si>
    <t>Município:</t>
  </si>
  <si>
    <t>Nº contrato:</t>
  </si>
  <si>
    <t>XXX.XXX-XX/XXXX</t>
  </si>
  <si>
    <t>Objeto:</t>
  </si>
  <si>
    <t>Pavimentação Asfáltica de diversas vias</t>
  </si>
  <si>
    <t>Encargos :</t>
  </si>
  <si>
    <t>sem desoneração</t>
  </si>
  <si>
    <t>Nome orçamentista:</t>
  </si>
  <si>
    <t>Felipe Camargo</t>
  </si>
  <si>
    <t>CREA nº</t>
  </si>
  <si>
    <t xml:space="preserve">CREA nº </t>
  </si>
  <si>
    <t xml:space="preserve">CAU nº </t>
  </si>
  <si>
    <t>Nome do prefeito</t>
  </si>
  <si>
    <t>CPF do prefeito</t>
  </si>
  <si>
    <t>Regime de execução:</t>
  </si>
  <si>
    <t>empreitada por preço global</t>
  </si>
  <si>
    <t>empreitada por preço unitário</t>
  </si>
  <si>
    <t>desonerados</t>
  </si>
  <si>
    <t>Alíquota ISSQN:</t>
  </si>
  <si>
    <t>Base de cálculo ISSQN:</t>
  </si>
  <si>
    <t>valor da mão de obra</t>
  </si>
  <si>
    <t>valor total da obra</t>
  </si>
  <si>
    <t>% de Mão de Obra (em relação ao valor total da obra):</t>
  </si>
  <si>
    <t>Cálculo do BDI conforme Acórdão 2622/2013 TCU</t>
  </si>
  <si>
    <t>SELECIONE O
TIPO DE OBRA:</t>
  </si>
  <si>
    <t>2 - Construção de Rodovias e Ferrovias</t>
  </si>
  <si>
    <t>Itens</t>
  </si>
  <si>
    <t>Adotado</t>
  </si>
  <si>
    <t>MÍN</t>
  </si>
  <si>
    <t>MÁX</t>
  </si>
  <si>
    <t>1 - Construção de Edifícios</t>
  </si>
  <si>
    <t>MIN</t>
  </si>
  <si>
    <t>ADM CENTRAL</t>
  </si>
  <si>
    <t>1a</t>
  </si>
  <si>
    <t>S+G</t>
  </si>
  <si>
    <t>SEGURO E GARANTIA</t>
  </si>
  <si>
    <t>3 - Construção de Redes de Abastecimento de Água, Coleta de Esgoto e Construções Correlatas</t>
  </si>
  <si>
    <t>1b</t>
  </si>
  <si>
    <t>RISCO</t>
  </si>
  <si>
    <t>4 - Construção e Manutenção de Estações e Redes de Distribuição de Energia Elétrica</t>
  </si>
  <si>
    <t>1c</t>
  </si>
  <si>
    <t xml:space="preserve"> DESP. FINANCEIRAS</t>
  </si>
  <si>
    <t>5 - Obras Portuárias, Marítimas e Fluviais</t>
  </si>
  <si>
    <t>1d</t>
  </si>
  <si>
    <t>LUCRO</t>
  </si>
  <si>
    <t>6 - Fornecimento de Materiais e Equipamentos</t>
  </si>
  <si>
    <t>1e</t>
  </si>
  <si>
    <t>IMPOSTOS</t>
  </si>
  <si>
    <t>conf. Legislação</t>
  </si>
  <si>
    <t>2a</t>
  </si>
  <si>
    <t>COFINS</t>
  </si>
  <si>
    <t>ISSQN (Alíquota x %Base de cálculo)</t>
  </si>
  <si>
    <t>CPRB (p/ desonerado)</t>
  </si>
  <si>
    <t>IMPOSTOS (Desonerado)</t>
  </si>
  <si>
    <t>2b</t>
  </si>
  <si>
    <t>2c</t>
  </si>
  <si>
    <t>Fórmula do BDI</t>
  </si>
  <si>
    <t>2d</t>
  </si>
  <si>
    <t>BDI =</t>
  </si>
  <si>
    <t>(1 + AC + S + G + R) * (1 + DF) * (1 + L)</t>
  </si>
  <si>
    <t>2e</t>
  </si>
  <si>
    <t>(1 - I)</t>
  </si>
  <si>
    <t>3a</t>
  </si>
  <si>
    <t>3b</t>
  </si>
  <si>
    <t>BDI Resultante</t>
  </si>
  <si>
    <t>3c</t>
  </si>
  <si>
    <t>3d</t>
  </si>
  <si>
    <t>BDI Desonerado:</t>
  </si>
  <si>
    <t>3e</t>
  </si>
  <si>
    <t>IMPORTANTE: Se o percentual total do BDI exceder o máximo previsto pelo Acórdão 2622/20013, o detalhamento do BDI deve ser acompanhado de relatório técnico circunstanciado, justificando a adoção do percentual adotado para cada parcela do BDI, assinado pelo profissional responsável técnico do orçamento, usando como diretriz os percentuais máximos e mínimos previstos para cada item.</t>
  </si>
  <si>
    <t>* O BDI máximo pode ser ultrapassado nos casos em que a empresa vencedora da licitação se enquadre na desoneração (conforme Medida Provisória 601/2012). Neste caso, após definir o BDI "sem desoneração" respeitando os limites das tabelas acima, o cálculo do BDI "desonerado" é feito acrescentando 2% ao item "I - PIS, COFINS e ISSQN", sem alterar as demais parcelas da fórmula.</t>
  </si>
  <si>
    <t>4b</t>
  </si>
  <si>
    <t>* IMPORTANTE: Esta planilha foi desenvolvida para abranger às situações mais comuns. Poderá haver situações em que este modelo não se aplica. Não é obrigatório o uso desta planilha.</t>
  </si>
  <si>
    <t>4c</t>
  </si>
  <si>
    <t>4d</t>
  </si>
  <si>
    <t>4e</t>
  </si>
  <si>
    <t>5a</t>
  </si>
  <si>
    <t>5b</t>
  </si>
  <si>
    <t>5c</t>
  </si>
  <si>
    <t>5d</t>
  </si>
  <si>
    <t>5e</t>
  </si>
  <si>
    <t>6a</t>
  </si>
  <si>
    <t>6b</t>
  </si>
  <si>
    <t>6c</t>
  </si>
  <si>
    <t>6d</t>
  </si>
  <si>
    <t>6e</t>
  </si>
  <si>
    <t>1f</t>
  </si>
  <si>
    <t>2f</t>
  </si>
  <si>
    <t>3f</t>
  </si>
  <si>
    <t>4f</t>
  </si>
  <si>
    <t>5f</t>
  </si>
  <si>
    <t>6f</t>
  </si>
  <si>
    <t>Declaração</t>
  </si>
  <si>
    <t>Composição analítica do BDI (conforme Acórdão 2622/2013 TCU)</t>
  </si>
  <si>
    <t>TIPO DE OBRA:</t>
  </si>
  <si>
    <t>DESP. FINANCEIRAS</t>
  </si>
  <si>
    <t>ISSQN (Aliquota x %Base de cálculo)</t>
  </si>
  <si>
    <t>CPRB</t>
  </si>
  <si>
    <t>4a</t>
  </si>
  <si>
    <t>86.892-RS</t>
  </si>
  <si>
    <t>GILMAR FUHR</t>
  </si>
  <si>
    <t>968.607.900-91</t>
  </si>
  <si>
    <t>distâncias até;</t>
  </si>
  <si>
    <t>Caxias</t>
  </si>
  <si>
    <t>NH</t>
  </si>
  <si>
    <t>Porto Alegre</t>
  </si>
  <si>
    <t>Boca de bueiro simples D=0,80m</t>
  </si>
  <si>
    <t>Fornecimento de tubos de concreto simples - PA-2 - D=0,80m</t>
  </si>
  <si>
    <t>Assentamento de tubos de concreto - D=0,80m</t>
  </si>
  <si>
    <t>Carga, manobras e descarga de rachão</t>
  </si>
  <si>
    <t>1.2.7</t>
  </si>
  <si>
    <t>Escavação de mat. 1a cat.</t>
  </si>
  <si>
    <t>Sub-base de rachão, exclusive transporte</t>
  </si>
  <si>
    <t>Transporte comercial - sub-base</t>
  </si>
  <si>
    <t>Carga, manobras e descarga de base de brita graduada</t>
  </si>
  <si>
    <t>Pintura de ligação com RR-2C</t>
  </si>
  <si>
    <t>Capa asfáltica em CBUQ com CAP-50/70 (esp. 0,05m)</t>
  </si>
  <si>
    <t>2.12</t>
  </si>
  <si>
    <t>1.3.6</t>
  </si>
  <si>
    <t>SICRO 4805765</t>
  </si>
  <si>
    <t>Escavação de vala em mat. 3a cat.</t>
  </si>
  <si>
    <t>73856/003</t>
  </si>
  <si>
    <t>Placa de sinalização refletiva sem suporte</t>
  </si>
  <si>
    <t>DMTS</t>
  </si>
  <si>
    <t>BF</t>
  </si>
  <si>
    <t>PAV</t>
  </si>
  <si>
    <t>VOLUME MAT. x EMP. X DMT</t>
  </si>
  <si>
    <t>Carga, manaboras e descarga de rachão</t>
  </si>
  <si>
    <t>VOLUME TOTAL DE MATERIAL  x DENSIDADE</t>
  </si>
  <si>
    <t>Carga, manaboras e descarga escavações subleito</t>
  </si>
  <si>
    <t>item 1.3.1 + 1.3.2</t>
  </si>
  <si>
    <t>Pintura de ligação com emulsão RR-2C</t>
  </si>
  <si>
    <t>Sub-base de rachão, inclus. compactação</t>
  </si>
  <si>
    <t>item 2.2 x 1,7 t/m³</t>
  </si>
  <si>
    <t>Carga, manaboras e descarga de brita graduada</t>
  </si>
  <si>
    <t>item 2.5 x 1,5 t/m³</t>
  </si>
  <si>
    <t>Item 2.10 x 2,4</t>
  </si>
  <si>
    <t>Boca de bueiro D=0,80m</t>
  </si>
  <si>
    <t>Diâmetro 0,80m</t>
  </si>
  <si>
    <t>Município de Bom Princípio/RS</t>
  </si>
  <si>
    <t>PREFEITURA MUNICIPAL  DE BOM PRINCÍPIO/RS</t>
  </si>
  <si>
    <t>PREFEITURA MUNICIPAL DE BOM PRINCÍPIO/RS</t>
  </si>
  <si>
    <t>ADMINISTRAÇÃO LOCAL</t>
  </si>
  <si>
    <t>Valor unit. (h)</t>
  </si>
  <si>
    <t>Valor Total</t>
  </si>
  <si>
    <t>Pessoal</t>
  </si>
  <si>
    <t>Pessoal nível superior - engenheiro civil junior c/ encargos (*)</t>
  </si>
  <si>
    <t>mês</t>
  </si>
  <si>
    <t>CUSTO TOTAL  ADMINISTRAÇÃO LOCAL</t>
  </si>
  <si>
    <t>CUSTO % ADMINISTRAÇÃO LOCAL</t>
  </si>
  <si>
    <t>5.6</t>
  </si>
  <si>
    <t>Administração local</t>
  </si>
  <si>
    <t>5.5.1</t>
  </si>
  <si>
    <t>5.7</t>
  </si>
  <si>
    <t>Escavação em mat. 3a cat. com escavadeira e rompedor hidráulico</t>
  </si>
  <si>
    <t>MOVIMENTAÇÃO DE TERRAS (TERRAPLENAGEM)</t>
  </si>
  <si>
    <t>Suporte de aço galvanizado D=2" c/ instalação</t>
  </si>
  <si>
    <t>MOBILIZAÇÃO EQUIPAMENTOS</t>
  </si>
  <si>
    <t>Data Composição</t>
  </si>
  <si>
    <t>Data base:</t>
  </si>
  <si>
    <t>*</t>
  </si>
  <si>
    <t>Unidade:</t>
  </si>
  <si>
    <t>E9687</t>
  </si>
  <si>
    <t>Caminhão carroceria c/ munck</t>
  </si>
  <si>
    <t>E9508</t>
  </si>
  <si>
    <t>Veículo leve</t>
  </si>
  <si>
    <t>E9093</t>
  </si>
  <si>
    <t>1.4</t>
  </si>
  <si>
    <t>E9680</t>
  </si>
  <si>
    <t>Carregadeira de Pneus</t>
  </si>
  <si>
    <t>E9665</t>
  </si>
  <si>
    <t>E9667</t>
  </si>
  <si>
    <t>Trator Agrícola com grade</t>
  </si>
  <si>
    <t>Trator de Esteiras</t>
  </si>
  <si>
    <t>Caminhão basculante 6 m³</t>
  </si>
  <si>
    <t>E9506</t>
  </si>
  <si>
    <t xml:space="preserve">Caminhão basculante 14 m³ </t>
  </si>
  <si>
    <t>Distribuidor de agregados autopropelido</t>
  </si>
  <si>
    <t>E9514</t>
  </si>
  <si>
    <t>Caminhão caçamba</t>
  </si>
  <si>
    <t>E9520</t>
  </si>
  <si>
    <t>Caminhão Espargidor</t>
  </si>
  <si>
    <t>E9509</t>
  </si>
  <si>
    <t>E9605</t>
  </si>
  <si>
    <t xml:space="preserve">CUSTO TOTAL DE MOBILIZAÇÃO </t>
  </si>
  <si>
    <t>* Data Base (Referências de Custos Sem Desoneração):</t>
  </si>
  <si>
    <t>COMPOSIÇÃO 03</t>
  </si>
  <si>
    <r>
      <t xml:space="preserve">DISTÂNCIA MEDIANA ENTRE CENTROS URBANOS PARA FORNECIMENTO DE EQUIPAMENTOS </t>
    </r>
    <r>
      <rPr>
        <sz val="10"/>
        <rFont val="Arial"/>
        <family val="2"/>
      </rPr>
      <t>( Novo Hamburgo, Porto Alegre e Portão ): 55 Km</t>
    </r>
  </si>
  <si>
    <r>
      <t xml:space="preserve">TEMPO ( CONSIDERANDO VELOCIDADE MÉDIA = 50 Km/h ) = 1,10 </t>
    </r>
    <r>
      <rPr>
        <sz val="10"/>
        <rFont val="Arial"/>
        <family val="2"/>
      </rPr>
      <t>h</t>
    </r>
  </si>
  <si>
    <t xml:space="preserve"> PREFEITURA MUNICIPAL DE BOM PRINCÍPIO/RS</t>
  </si>
  <si>
    <t>COMPOSIÇÃO 02</t>
  </si>
  <si>
    <t>LOGRADOURO: MUNICÍPIO DE BOM PRINCÍPIO</t>
  </si>
  <si>
    <t>Composição 03</t>
  </si>
  <si>
    <t>Composição 02</t>
  </si>
  <si>
    <t>SICRO 5502967</t>
  </si>
  <si>
    <t>1.3.7</t>
  </si>
  <si>
    <t>Sarjeta Trapezoidal de Grama - SZG02</t>
  </si>
  <si>
    <t>SICRO 2003347</t>
  </si>
  <si>
    <t>Sarjeta Trapezoidal de Concreto - SZC02</t>
  </si>
  <si>
    <t>SICRO 2003345</t>
  </si>
  <si>
    <t>Transposição segmentos sarjetas - TSS02</t>
  </si>
  <si>
    <t>SICRO 2003359</t>
  </si>
  <si>
    <t>Caixa coletora de sarjeta CCS01 c/ grelha de concreto TCC01</t>
  </si>
  <si>
    <t>SICRO 2003477</t>
  </si>
  <si>
    <t>Est. 0+00 - Est. 45+00</t>
  </si>
  <si>
    <t>45+00</t>
  </si>
  <si>
    <t>LARG. MÉDIA (m)</t>
  </si>
  <si>
    <t>Transporte local bota-fora até  13,1 km</t>
  </si>
  <si>
    <t>Transporte comercial bota-fora até 13,1 km</t>
  </si>
  <si>
    <t>Transporte local bota-fora - 13,1 km</t>
  </si>
  <si>
    <t>(item 3.1+item 3.2-item 3.14) x 1,25 x 13,1 km</t>
  </si>
  <si>
    <t>ESP. (m)</t>
  </si>
  <si>
    <t>EXTENSÃO TRECHO REMOÇÃO X LARGURA X ESPESSURA</t>
  </si>
  <si>
    <t>Item 1.2.1 x 1,25 x 13,1 km</t>
  </si>
  <si>
    <t>Transporte comercial rachão - 46,6 km</t>
  </si>
  <si>
    <t>Transporte comercial brita - 46,6 km</t>
  </si>
  <si>
    <t>Item 1.2.1 x 1,15 x 46,6 km</t>
  </si>
  <si>
    <t>DMT</t>
  </si>
  <si>
    <t>PEDREIRA</t>
  </si>
  <si>
    <t>Escavação mat. 1a cat.</t>
  </si>
  <si>
    <t>Escavação mat. 3a cat.</t>
  </si>
  <si>
    <t>ESCAVAÇÃO</t>
  </si>
  <si>
    <t>CORTE</t>
  </si>
  <si>
    <t>ATERRO</t>
  </si>
  <si>
    <t>Escavação mecânica solos inservíveis profundidade até 1,50m</t>
  </si>
  <si>
    <t>Enleivamento de taludes</t>
  </si>
  <si>
    <t>ALT. MÉDIA (m)</t>
  </si>
  <si>
    <t>EXTENSÃO DO TRECHO x LARGURA PAVIMENTO</t>
  </si>
  <si>
    <t>EXTENSÃO (m)</t>
  </si>
  <si>
    <t>LARGURA (m)</t>
  </si>
  <si>
    <t>ESP.</t>
  </si>
  <si>
    <t>RACHÃO</t>
  </si>
  <si>
    <t>BASE</t>
  </si>
  <si>
    <t>CBUQ</t>
  </si>
  <si>
    <t>ESPESSURA (m0</t>
  </si>
  <si>
    <t>LARGURA M. CAM. (m)</t>
  </si>
  <si>
    <t>Transporte comercial rachão - 46,60 km</t>
  </si>
  <si>
    <t>VOLUME MATERIAL SUB-BASE x EMPOLAMENTO x DMT</t>
  </si>
  <si>
    <t>Item 2.2 x 1,15 x 46,60</t>
  </si>
  <si>
    <t>Item 2.2 x 1,46 x 46,60</t>
  </si>
  <si>
    <t>LARGURA CAM. (m)</t>
  </si>
  <si>
    <t>EXTENSÃO x LARGURA</t>
  </si>
  <si>
    <t>EXTENSÃO x LARGURA x ESPESSURA</t>
  </si>
  <si>
    <t>Transporte comercial CBUQ - 46,60 km</t>
  </si>
  <si>
    <t>Item 2.10 x 1,30 x 46,60</t>
  </si>
  <si>
    <t>VOLUME MATERIAL CBUQ  x EMPOLAMENTO x DMT</t>
  </si>
  <si>
    <t>Escavação mat 1a. (90% mat. Escavado)</t>
  </si>
  <si>
    <t>Escavação mat. 3a (10% mat. Escavado)</t>
  </si>
  <si>
    <t>VOLUME MATERIAL LASTRO x EMPOLAMENTO x DMT</t>
  </si>
  <si>
    <t>3.5 a 3.8</t>
  </si>
  <si>
    <t>Caixa coletora de sarjeta com grelha de concreto</t>
  </si>
  <si>
    <t>NÚMERO DE CAIXAS (MEDIDO EM PLANTA)</t>
  </si>
  <si>
    <t>Sarjeta Trapezoidal de Grama</t>
  </si>
  <si>
    <t>EXTENSÃO DE SARJETAS (MEDIDO EM PLANTA)</t>
  </si>
  <si>
    <t>Sarjeta Trapezoidal de Concreto</t>
  </si>
  <si>
    <t>Transposição de segmentos de sarjetas</t>
  </si>
  <si>
    <t>EXTENSÃO DE TRANSPOSIÇÕES (MEDIDO EM PLANTA)</t>
  </si>
  <si>
    <t>NÚMERO DE BOCAS (MEDIDO EM PLANTA)</t>
  </si>
  <si>
    <t>Pintura Contínua Amarela - Eixo</t>
  </si>
  <si>
    <t>Pintura Tracejada Amarela - Eixo</t>
  </si>
  <si>
    <t>Pintura Tracejada Branca - Bordo</t>
  </si>
  <si>
    <t>Pintura Contínua Branca - Bordo</t>
  </si>
  <si>
    <t>EXTENSÃO DE PINTURA X LARGURA DA LINHA</t>
  </si>
  <si>
    <t>PLACA OCTOGNAL (R-1)</t>
  </si>
  <si>
    <t>PLACA CIRCULAR (R-7)</t>
  </si>
  <si>
    <t>PLACA CIRCULAR (R-19)</t>
  </si>
  <si>
    <t>PLACA QUADRADA (A-2a)</t>
  </si>
  <si>
    <t>PLACA QUADRADA (A-2b)</t>
  </si>
  <si>
    <t>PLACA QUADRADA (A-7a)</t>
  </si>
  <si>
    <t>PLACA QUADRADA (A-7b)</t>
  </si>
  <si>
    <t>Dimensão</t>
  </si>
  <si>
    <t>L=0,25m</t>
  </si>
  <si>
    <t>Ø=0,50m</t>
  </si>
  <si>
    <t>L=0,50m</t>
  </si>
  <si>
    <t>2,00x0,50m</t>
  </si>
  <si>
    <t>Tacha refletiva bidirecional</t>
  </si>
  <si>
    <t>SICRO 5213360</t>
  </si>
  <si>
    <t>Tacha bidirecional refletiva</t>
  </si>
  <si>
    <t>NÚMERO DE TACHAS (EIXO E BORDOS) A CADA 8,00m</t>
  </si>
  <si>
    <t>Tachas bidirecionais amarela (eixo)</t>
  </si>
  <si>
    <t>Tachas bidirecionais branca (bordos)</t>
  </si>
  <si>
    <t>MOBILIZAÇÃO, SERVIÇOS TOPOGRÁFICOS E ADM LOCAL</t>
  </si>
  <si>
    <t>Ver composição 03</t>
  </si>
  <si>
    <t>-</t>
  </si>
  <si>
    <t>Ensaios Controle Tecnológico</t>
  </si>
  <si>
    <t>Um ensaio a cada 100m</t>
  </si>
  <si>
    <t>SUB-TOTAL (4) &gt;&gt;&gt;&gt;&gt;</t>
  </si>
  <si>
    <t>5.6.1</t>
  </si>
  <si>
    <t>5.6.2</t>
  </si>
  <si>
    <t>5.6.3</t>
  </si>
  <si>
    <t>5.3 a 5.6</t>
  </si>
  <si>
    <t>Ver composição 02</t>
  </si>
  <si>
    <t>(*) Considerado jornada de 2h diárias  / 3 dias por semana / 4 semanas no mês</t>
  </si>
  <si>
    <t>(**) Considerado jornada de 8 h semanais / 4 semanas no mês</t>
  </si>
  <si>
    <t>1cat</t>
  </si>
  <si>
    <t>3cat.</t>
  </si>
  <si>
    <t>VOLUME ESCAVAÇÃO SUBLEITO (Planilha movimentação de terras - considerado 95% mat. escavado)</t>
  </si>
  <si>
    <t>VOLUME ESCAVAÇÃO SUBLEITO (Planilha movimentação de terras - considerado 5% mat. escavado)</t>
  </si>
  <si>
    <t>MOVIMENTAÇÃO DE TERRAS</t>
  </si>
  <si>
    <t xml:space="preserve">                                                                 SUB-TOTAL (4) &gt;&gt;&gt;&gt;&gt;</t>
  </si>
  <si>
    <t>Pista</t>
  </si>
  <si>
    <t>Encaixes (medido planta)</t>
  </si>
  <si>
    <t>ÁREA (m²)</t>
  </si>
  <si>
    <t>PAVIMENTO PISTA</t>
  </si>
  <si>
    <t>ENCAIXE</t>
  </si>
  <si>
    <t>Memória de Cálculo</t>
  </si>
  <si>
    <t>Item 3.3 x 1,46 x 46,60</t>
  </si>
  <si>
    <t>Estrada Passo Salseiro</t>
  </si>
  <si>
    <t>Percentual               (%)</t>
  </si>
  <si>
    <t>1 un x (2,40m x 1,20m)</t>
  </si>
  <si>
    <t>QUANTIDADE DE PLACAS x ÁREA DA PLACA</t>
  </si>
  <si>
    <t>EXTENSÃO x LARGURA TERRENO VIRGEM</t>
  </si>
  <si>
    <t>item 1.1.3 x 1,25 x 13,1 km</t>
  </si>
  <si>
    <t>EXTENSÃO TRECHO REMOÇÃO x LARGURA x ESPESSURA</t>
  </si>
  <si>
    <t>VOLUME SUBSTITUIÇÃO X EMP x DMT</t>
  </si>
  <si>
    <t>VOL. ESCAVAÇÃO EXCEDENTE x EMP x DMT</t>
  </si>
  <si>
    <t>VOLUME TOTAL DE MATERIAL EXCEDENTE</t>
  </si>
  <si>
    <t>(Item 1.3.1x1,25+1.3.2x1,00) - (Item 1.3.6 ) x 13,1 km</t>
  </si>
  <si>
    <t>VOLUME TOTAL DE MATERIAL x DENSIDADE</t>
  </si>
  <si>
    <t>item 1.2.5 x 1,7 t/m³</t>
  </si>
  <si>
    <t>VOLUME TOTAL DE ATERRO  (Planilha movimentação de terras)</t>
  </si>
  <si>
    <t>Total de CBUQ (m³) / Densidade (t/m³)</t>
  </si>
  <si>
    <t>NÚMERO DE SUPORTE POR PLACAS x COMPRIMENTO</t>
  </si>
  <si>
    <t>Total de suportes item 4.2 x 3,00m</t>
  </si>
  <si>
    <t>MAR/2019</t>
  </si>
  <si>
    <t>FEV/2019</t>
  </si>
  <si>
    <t>- SICRO JUL/2018</t>
  </si>
  <si>
    <t>74021/003</t>
  </si>
  <si>
    <t>74021/006</t>
  </si>
  <si>
    <t>Ensaio de regularização do subleito</t>
  </si>
  <si>
    <t>74022/003</t>
  </si>
  <si>
    <t>Ensaio taxa de aplicação ligante betuminoso</t>
  </si>
  <si>
    <t>Ensaio de ponto de fulgor material betuminoso</t>
  </si>
  <si>
    <t>74022/025</t>
  </si>
  <si>
    <t>Ensaio de adesividade do ligante betuminoso</t>
  </si>
  <si>
    <t>Ensaio p/ Imprimação</t>
  </si>
  <si>
    <t>Ensaio da determinação da peneiração - emulsão asfáltica</t>
  </si>
  <si>
    <t>Tabela de preços SINAPI - FEV/2019 - SICRO:JUL/2018</t>
  </si>
  <si>
    <t>Equipamentos (A)</t>
  </si>
  <si>
    <t>Unidade</t>
  </si>
  <si>
    <t>Quant.</t>
  </si>
  <si>
    <t>Custo</t>
  </si>
  <si>
    <t>Discriminação</t>
  </si>
  <si>
    <t>Horário</t>
  </si>
  <si>
    <t>SINAPI 5835 - Vibroacabadora de asfalto sobre esteiras, largura de pav. 1,90 M a 5,30 M, Pot. 105 HP Cap. 450 T/H</t>
  </si>
  <si>
    <t>CHP</t>
  </si>
  <si>
    <t>SINAPI 5837 - Vibroacabadora de asfalto sobre esteiras, largura de pav. 1,90 M a 5,30 M, Pot. 105 HP Cap. 450 T/H</t>
  </si>
  <si>
    <t>CHI</t>
  </si>
  <si>
    <t>SINAPI 91386 - Caminhão basculante 10 m³, trucado cabine simples, peso bruto total 23.000 Kg</t>
  </si>
  <si>
    <t>SINAPI 95631 - Roli compact. Vibrat. tandem, aço liso, Pot. 125 HP, Peso s/C lastro 10,20/11,65 T, Larg. de trabalho 1,73 M</t>
  </si>
  <si>
    <t>SINAPI 95632 - Roli compact. Vibrat. tandem, aço liso, Pot. 125 HP, Peso s/C lastro 10,20/11,65 T, Larg. de trabalho 1,73 M</t>
  </si>
  <si>
    <t>SINAPI 96155 - Trator de pneus c/ potência de 85 CV, tração 4X4, c/ vassoura mecânica acoplada</t>
  </si>
  <si>
    <t>SINAPI 96157 - Trator de pneus c/ potência de 85 CV, tração 4X4, c/ vassoura mecânica acoplada</t>
  </si>
  <si>
    <t xml:space="preserve">SINAPI 96463 - Rolo compact. de pneu estático, pres. var., Pot. 110 HP, Peso s/c Lastro 10,08 / 27,0 T, Larg. de rolagem 2,30 m </t>
  </si>
  <si>
    <t xml:space="preserve">SINAPI 96464 - Rolo compact. de pneu estático, pres. var., Pot. 110 HP, Peso s/c Lastro 10,08 / 27,0 T, Larg. de rolagem 2,30 m </t>
  </si>
  <si>
    <t>Total (A)</t>
  </si>
  <si>
    <t>Mão-de-Obra (B)</t>
  </si>
  <si>
    <t>Salário</t>
  </si>
  <si>
    <t>Base</t>
  </si>
  <si>
    <t>SINAPI 88314 - Rasteleiro</t>
  </si>
  <si>
    <t>h</t>
  </si>
  <si>
    <t>Total (B)</t>
  </si>
  <si>
    <t>(C) Produção da Equipe 1 m³/H</t>
  </si>
  <si>
    <t>Custo horário Total (A+B)</t>
  </si>
  <si>
    <t>(D) Custo Unitário da Execução [(A)+(B)/(C)=</t>
  </si>
  <si>
    <t>Materiais (E)</t>
  </si>
  <si>
    <t>Consumo</t>
  </si>
  <si>
    <t>Unitário</t>
  </si>
  <si>
    <t>SINAPI 72962 - Usinagem CBUQ c/ CAP 50/70</t>
  </si>
  <si>
    <t>Total (E)</t>
  </si>
  <si>
    <t>CUSTO UNITÁRIO TOTAL (R$) (S/ BDI)</t>
  </si>
  <si>
    <t>COMPOSIÇÃO 01 - REF. SINAPI 95995</t>
  </si>
  <si>
    <t>Data Base:</t>
  </si>
  <si>
    <t>Serviço: Const. Pav. c/ Aplicação de CBUQ, Camada de Rolamento, c/ esp. 5,00 cm – Exclus. Transp.</t>
  </si>
  <si>
    <t>Composição 01</t>
  </si>
  <si>
    <t>Ensaios de base estabilizada granulometricamente</t>
  </si>
  <si>
    <t>Pessoal nível médio - encarregado geral  c/ encargos (**)</t>
  </si>
  <si>
    <t>Extensão trecho x largura pista + área encaixes</t>
  </si>
  <si>
    <t>Área Encaixes (m²)</t>
  </si>
  <si>
    <t>((Item 1.3.1x1,25+1.3.2x1,00) - (Item 1.3.6)</t>
  </si>
</sst>
</file>

<file path=xl/styles.xml><?xml version="1.0" encoding="utf-8"?>
<styleSheet xmlns="http://schemas.openxmlformats.org/spreadsheetml/2006/main">
  <numFmts count="18">
    <numFmt numFmtId="44" formatCode="_-&quot;R$&quot;\ * #,##0.00_-;\-&quot;R$&quot;\ * #,##0.00_-;_-&quot;R$&quot;\ * &quot;-&quot;??_-;_-@_-"/>
    <numFmt numFmtId="43" formatCode="_-* #,##0.00_-;\-* #,##0.00_-;_-* &quot;-&quot;??_-;_-@_-"/>
    <numFmt numFmtId="164" formatCode="_(* #,##0.00_);_(* \(#,##0.00\);_(* \-??_);_(@_)"/>
    <numFmt numFmtId="165" formatCode="_(&quot;R$&quot;* #,##0.00_);_(&quot;R$&quot;* \(#,##0.00\);_(&quot;R$&quot;* &quot;-&quot;??_);_(@_)"/>
    <numFmt numFmtId="166" formatCode="_(&quot;R$ &quot;* #,##0.00_);_(&quot;R$ &quot;* \(#,##0.00\);_(&quot;R$ &quot;* \-??_);_(@_)"/>
    <numFmt numFmtId="167" formatCode="_(* #,##0.00_);_(* \(#,##0.00\);_(* &quot;-&quot;??_);_(@_)"/>
    <numFmt numFmtId="168" formatCode="_([$€-2]* #,##0.00_);_([$€-2]* \(#,##0.00\);_([$€-2]* &quot;-&quot;??_)"/>
    <numFmt numFmtId="169" formatCode="##\&amp;&quot; =&quot;"/>
    <numFmt numFmtId="170" formatCode="\$#,##0\ ;\(\$#,##0\)"/>
    <numFmt numFmtId="171" formatCode="_(&quot;R$&quot;* #,##0.00_);_(&quot;R$&quot;* \(#,##0.00\);_(&quot;R$&quot;* \-??_);_(@_)"/>
    <numFmt numFmtId="172" formatCode="_(&quot;R$ &quot;* #,##0.00_);_(&quot;R$ &quot;* \(#,##0.00\);_(&quot;R$ &quot;* &quot;-&quot;??_);_(@_)"/>
    <numFmt numFmtId="173" formatCode="0.00\ &quot;km =&quot;"/>
    <numFmt numFmtId="174" formatCode="0.0000%"/>
    <numFmt numFmtId="175" formatCode="* #,##0.00\ ;* \(#,##0.00\);* \-#\ ;@\ "/>
    <numFmt numFmtId="176" formatCode="&quot;VERDADEIRO&quot;;&quot;VERDADEIRO&quot;;&quot;FALSO&quot;"/>
    <numFmt numFmtId="177" formatCode="0.0%"/>
    <numFmt numFmtId="178" formatCode="0.00\ &quot;%&quot;"/>
    <numFmt numFmtId="179" formatCode="0.0000"/>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9"/>
      <name val="Arial"/>
      <family val="2"/>
    </font>
    <font>
      <sz val="10"/>
      <color indexed="10"/>
      <name val="Arial"/>
      <family val="2"/>
    </font>
    <font>
      <sz val="12"/>
      <name val="Arial"/>
      <family val="2"/>
    </font>
    <font>
      <b/>
      <sz val="16"/>
      <name val="Century Gothic"/>
      <family val="2"/>
    </font>
    <font>
      <sz val="10"/>
      <name val="Arial"/>
      <family val="2"/>
    </font>
    <font>
      <sz val="10"/>
      <color theme="1"/>
      <name val="Arial"/>
      <family val="2"/>
    </font>
    <font>
      <i/>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sz val="10"/>
      <name val="Times New Roman"/>
      <family val="1"/>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2"/>
      <name val="Arial"/>
      <family val="2"/>
      <charset val="1"/>
    </font>
    <font>
      <b/>
      <sz val="12"/>
      <name val="Arial"/>
      <family val="2"/>
    </font>
    <font>
      <b/>
      <sz val="9"/>
      <name val="Arial"/>
      <family val="2"/>
    </font>
    <font>
      <b/>
      <sz val="11"/>
      <color theme="1"/>
      <name val="Arial"/>
      <family val="2"/>
    </font>
    <font>
      <b/>
      <sz val="10"/>
      <color theme="1"/>
      <name val="Arial"/>
      <family val="2"/>
    </font>
    <font>
      <b/>
      <sz val="9"/>
      <color theme="1"/>
      <name val="Arial"/>
      <family val="2"/>
    </font>
    <font>
      <i/>
      <sz val="9"/>
      <name val="Arial"/>
      <family val="2"/>
    </font>
    <font>
      <sz val="10"/>
      <name val="MS Sans Serif"/>
      <family val="2"/>
    </font>
    <font>
      <sz val="9"/>
      <color theme="1"/>
      <name val="Arial"/>
      <family val="2"/>
    </font>
    <font>
      <sz val="10"/>
      <color indexed="24"/>
      <name val="Arial"/>
      <family val="2"/>
    </font>
    <font>
      <b/>
      <sz val="18"/>
      <color indexed="24"/>
      <name val="Arial"/>
      <family val="2"/>
    </font>
    <font>
      <b/>
      <sz val="12"/>
      <color indexed="24"/>
      <name val="Arial"/>
      <family val="2"/>
    </font>
    <font>
      <u/>
      <sz val="10"/>
      <color indexed="12"/>
      <name val="Arial"/>
      <family val="2"/>
    </font>
    <font>
      <sz val="12"/>
      <name val="Times New Roman"/>
      <family val="1"/>
    </font>
    <font>
      <sz val="9"/>
      <color rgb="FFFF0000"/>
      <name val="Arial"/>
      <family val="2"/>
    </font>
    <font>
      <b/>
      <sz val="9"/>
      <color rgb="FFFF0000"/>
      <name val="Arial"/>
      <family val="2"/>
    </font>
    <font>
      <sz val="10"/>
      <color theme="0"/>
      <name val="Arial"/>
      <family val="2"/>
    </font>
    <font>
      <b/>
      <i/>
      <sz val="10"/>
      <name val="Arial"/>
      <family val="2"/>
    </font>
    <font>
      <sz val="10"/>
      <color theme="1"/>
      <name val="Calibri"/>
      <family val="2"/>
      <scheme val="minor"/>
    </font>
    <font>
      <sz val="9"/>
      <color theme="0"/>
      <name val="Arial"/>
      <family val="2"/>
    </font>
    <font>
      <sz val="10"/>
      <name val="Arial"/>
      <family val="2"/>
    </font>
    <font>
      <b/>
      <sz val="9"/>
      <color theme="0"/>
      <name val="Arial"/>
      <family val="2"/>
    </font>
    <font>
      <sz val="9"/>
      <color indexed="12"/>
      <name val="Tahoma"/>
      <family val="2"/>
    </font>
    <font>
      <sz val="16"/>
      <name val="Tahoma"/>
      <family val="2"/>
    </font>
    <font>
      <b/>
      <sz val="10"/>
      <name val="Tahoma"/>
      <family val="2"/>
    </font>
    <font>
      <b/>
      <sz val="11"/>
      <name val="Calibri"/>
      <family val="2"/>
      <scheme val="minor"/>
    </font>
    <font>
      <sz val="10"/>
      <color rgb="FFFF0000"/>
      <name val="Arial"/>
      <family val="2"/>
    </font>
    <font>
      <b/>
      <sz val="10"/>
      <color rgb="FFFF0000"/>
      <name val="Arial"/>
      <family val="2"/>
    </font>
    <font>
      <sz val="10"/>
      <color indexed="9"/>
      <name val="Arial"/>
      <family val="2"/>
    </font>
    <font>
      <b/>
      <sz val="12"/>
      <color indexed="9"/>
      <name val="Arial"/>
      <family val="2"/>
    </font>
    <font>
      <b/>
      <sz val="8"/>
      <name val="Arial"/>
      <family val="2"/>
    </font>
    <font>
      <b/>
      <sz val="10"/>
      <color indexed="9"/>
      <name val="Arial"/>
      <family val="2"/>
    </font>
    <font>
      <sz val="8"/>
      <name val="Arial"/>
      <family val="2"/>
    </font>
    <font>
      <sz val="9"/>
      <name val="Calibri"/>
      <family val="2"/>
    </font>
    <font>
      <b/>
      <sz val="14"/>
      <name val="Times New Roman"/>
      <family val="1"/>
    </font>
    <font>
      <sz val="11"/>
      <name val="Times New Roman"/>
      <family val="1"/>
    </font>
    <font>
      <b/>
      <sz val="12"/>
      <color indexed="9"/>
      <name val="Times New Roman"/>
      <family val="1"/>
    </font>
    <font>
      <b/>
      <sz val="8"/>
      <name val="Times New Roman"/>
      <family val="1"/>
    </font>
    <font>
      <b/>
      <sz val="10"/>
      <name val="Times New Roman"/>
      <family val="1"/>
    </font>
    <font>
      <b/>
      <sz val="10"/>
      <color indexed="9"/>
      <name val="Times New Roman"/>
      <family val="1"/>
    </font>
    <font>
      <sz val="8"/>
      <name val="Times New Roman"/>
      <family val="1"/>
    </font>
    <font>
      <sz val="10"/>
      <color indexed="8"/>
      <name val="Arial"/>
      <family val="2"/>
    </font>
    <font>
      <b/>
      <sz val="14"/>
      <name val="Arial"/>
      <family val="2"/>
    </font>
    <font>
      <b/>
      <sz val="16"/>
      <name val="Arial"/>
      <family val="2"/>
    </font>
    <font>
      <b/>
      <sz val="12"/>
      <name val="Century Gothic"/>
      <family val="2"/>
    </font>
    <font>
      <i/>
      <sz val="10"/>
      <color theme="0"/>
      <name val="Arial"/>
      <family val="2"/>
    </font>
    <font>
      <i/>
      <sz val="9"/>
      <color theme="0"/>
      <name val="Arial"/>
      <family val="2"/>
    </font>
    <font>
      <sz val="9"/>
      <color theme="5" tint="-0.249977111117893"/>
      <name val="Arial"/>
      <family val="2"/>
    </font>
    <font>
      <b/>
      <sz val="11"/>
      <name val="Arial"/>
      <family val="2"/>
    </font>
  </fonts>
  <fills count="40">
    <fill>
      <patternFill patternType="none"/>
    </fill>
    <fill>
      <patternFill patternType="gray125"/>
    </fill>
    <fill>
      <patternFill patternType="solid">
        <fgColor theme="2"/>
        <bgColor indexed="64"/>
      </patternFill>
    </fill>
    <fill>
      <patternFill patternType="solid">
        <fgColor theme="2"/>
        <bgColor indexed="26"/>
      </patternFill>
    </fill>
    <fill>
      <patternFill patternType="solid">
        <fgColor theme="0"/>
        <bgColor indexed="64"/>
      </patternFill>
    </fill>
    <fill>
      <patternFill patternType="solid">
        <fgColor theme="2"/>
        <bgColor indexed="31"/>
      </patternFill>
    </fill>
    <fill>
      <patternFill patternType="solid">
        <fgColor indexed="9"/>
        <bgColor indexed="64"/>
      </patternFill>
    </fill>
    <fill>
      <patternFill patternType="solid">
        <fgColor theme="2"/>
        <bgColor indexed="9"/>
      </patternFill>
    </fill>
    <fill>
      <patternFill patternType="solid">
        <fgColor indexed="22"/>
      </patternFill>
    </fill>
    <fill>
      <patternFill patternType="solid">
        <fgColor indexed="47"/>
      </patternFill>
    </fill>
    <fill>
      <patternFill patternType="solid">
        <fgColor indexed="26"/>
      </patternFill>
    </fill>
    <fill>
      <patternFill patternType="solid">
        <fgColor indexed="43"/>
      </patternFill>
    </fill>
    <fill>
      <patternFill patternType="solid">
        <fgColor indexed="29"/>
      </patternFill>
    </fill>
    <fill>
      <patternFill patternType="solid">
        <fgColor indexed="44"/>
      </patternFill>
    </fill>
    <fill>
      <patternFill patternType="solid">
        <fgColor indexed="49"/>
      </patternFill>
    </fill>
    <fill>
      <patternFill patternType="solid">
        <fgColor indexed="55"/>
      </patternFill>
    </fill>
    <fill>
      <patternFill patternType="solid">
        <fgColor indexed="42"/>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tint="-4.9989318521683403E-2"/>
        <bgColor indexed="9"/>
      </patternFill>
    </fill>
    <fill>
      <patternFill patternType="solid">
        <fgColor theme="0" tint="-4.9989318521683403E-2"/>
        <bgColor indexed="31"/>
      </patternFill>
    </fill>
    <fill>
      <patternFill patternType="solid">
        <fgColor theme="0"/>
        <bgColor indexed="31"/>
      </patternFill>
    </fill>
    <fill>
      <patternFill patternType="solid">
        <fgColor theme="2" tint="0.39997558519241921"/>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6" tint="0.79998168889431442"/>
        <bgColor theme="4" tint="0.79998168889431442"/>
      </patternFill>
    </fill>
    <fill>
      <patternFill patternType="solid">
        <fgColor theme="6" tint="0.79998168889431442"/>
        <bgColor indexed="64"/>
      </patternFill>
    </fill>
    <fill>
      <patternFill patternType="solid">
        <fgColor theme="6" tint="0.79998168889431442"/>
        <bgColor indexed="31"/>
      </patternFill>
    </fill>
    <fill>
      <patternFill patternType="solid">
        <fgColor theme="6" tint="0.79998168889431442"/>
        <bgColor indexed="26"/>
      </patternFill>
    </fill>
    <fill>
      <patternFill patternType="mediumGray">
        <fgColor theme="4" tint="0.79998168889431442"/>
        <bgColor theme="6" tint="0.79998168889431442"/>
      </patternFill>
    </fill>
    <fill>
      <patternFill patternType="solid">
        <fgColor theme="6" tint="0.79998168889431442"/>
        <bgColor indexed="34"/>
      </patternFill>
    </fill>
    <fill>
      <patternFill patternType="solid">
        <fgColor theme="6" tint="0.79998168889431442"/>
        <bgColor indexed="9"/>
      </patternFill>
    </fill>
    <fill>
      <patternFill patternType="solid">
        <fgColor theme="6" tint="-0.499984740745262"/>
        <bgColor indexed="64"/>
      </patternFill>
    </fill>
  </fills>
  <borders count="195">
    <border>
      <left/>
      <right/>
      <top/>
      <bottom/>
      <diagonal/>
    </border>
    <border>
      <left style="thin">
        <color indexed="8"/>
      </left>
      <right style="medium">
        <color indexed="64"/>
      </right>
      <top/>
      <bottom style="medium">
        <color indexed="64"/>
      </bottom>
      <diagonal/>
    </border>
    <border>
      <left/>
      <right style="medium">
        <color indexed="8"/>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8"/>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8"/>
      </bottom>
      <diagonal/>
    </border>
    <border>
      <left style="medium">
        <color indexed="64"/>
      </left>
      <right/>
      <top/>
      <bottom style="medium">
        <color indexed="8"/>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8"/>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8"/>
      </right>
      <top style="medium">
        <color indexed="8"/>
      </top>
      <bottom style="medium">
        <color indexed="64"/>
      </bottom>
      <diagonal/>
    </border>
    <border>
      <left/>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8"/>
      </right>
      <top/>
      <bottom style="medium">
        <color indexed="64"/>
      </bottom>
      <diagonal/>
    </border>
    <border>
      <left style="medium">
        <color indexed="8"/>
      </left>
      <right/>
      <top style="medium">
        <color indexed="8"/>
      </top>
      <bottom style="medium">
        <color indexed="64"/>
      </bottom>
      <diagonal/>
    </border>
    <border>
      <left style="medium">
        <color indexed="64"/>
      </left>
      <right style="medium">
        <color indexed="64"/>
      </right>
      <top style="medium">
        <color indexed="64"/>
      </top>
      <bottom style="medium">
        <color indexed="8"/>
      </bottom>
      <diagonal/>
    </border>
    <border>
      <left/>
      <right style="medium">
        <color indexed="64"/>
      </right>
      <top/>
      <bottom/>
      <diagonal/>
    </border>
    <border>
      <left style="medium">
        <color indexed="64"/>
      </left>
      <right/>
      <top/>
      <bottom/>
      <diagonal/>
    </border>
    <border>
      <left style="medium">
        <color indexed="8"/>
      </left>
      <right style="medium">
        <color indexed="8"/>
      </right>
      <top/>
      <bottom style="medium">
        <color indexed="8"/>
      </bottom>
      <diagonal/>
    </border>
    <border>
      <left style="medium">
        <color indexed="8"/>
      </left>
      <right style="medium">
        <color indexed="8"/>
      </right>
      <top style="hair">
        <color indexed="64"/>
      </top>
      <bottom style="hair">
        <color indexed="64"/>
      </bottom>
      <diagonal/>
    </border>
    <border>
      <left/>
      <right style="medium">
        <color indexed="8"/>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style="medium">
        <color indexed="64"/>
      </left>
      <right style="medium">
        <color indexed="8"/>
      </right>
      <top/>
      <bottom/>
      <diagonal/>
    </border>
    <border>
      <left style="medium">
        <color indexed="64"/>
      </left>
      <right style="medium">
        <color indexed="64"/>
      </right>
      <top style="hair">
        <color indexed="64"/>
      </top>
      <bottom/>
      <diagonal/>
    </border>
    <border>
      <left style="medium">
        <color indexed="8"/>
      </left>
      <right/>
      <top style="medium">
        <color indexed="64"/>
      </top>
      <bottom style="medium">
        <color indexed="8"/>
      </bottom>
      <diagonal/>
    </border>
    <border>
      <left style="medium">
        <color indexed="64"/>
      </left>
      <right style="medium">
        <color indexed="64"/>
      </right>
      <top style="medium">
        <color indexed="8"/>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8"/>
      </left>
      <right/>
      <top style="hair">
        <color indexed="64"/>
      </top>
      <bottom/>
      <diagonal/>
    </border>
    <border>
      <left/>
      <right/>
      <top style="hair">
        <color indexed="64"/>
      </top>
      <bottom/>
      <diagonal/>
    </border>
    <border>
      <left/>
      <right/>
      <top style="thin">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8"/>
      </right>
      <top style="hair">
        <color indexed="64"/>
      </top>
      <bottom style="hair">
        <color indexed="64"/>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thin">
        <color indexed="8"/>
      </left>
      <right/>
      <top style="hair">
        <color indexed="64"/>
      </top>
      <bottom style="hair">
        <color indexed="64"/>
      </bottom>
      <diagonal/>
    </border>
    <border>
      <left/>
      <right/>
      <top style="hair">
        <color auto="1"/>
      </top>
      <bottom style="hair">
        <color auto="1"/>
      </bottom>
      <diagonal/>
    </border>
    <border>
      <left/>
      <right/>
      <top style="hair">
        <color auto="1"/>
      </top>
      <bottom style="hair">
        <color auto="1"/>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bottom style="medium">
        <color indexed="8"/>
      </bottom>
      <diagonal/>
    </border>
    <border>
      <left style="medium">
        <color indexed="8"/>
      </left>
      <right style="medium">
        <color indexed="64"/>
      </right>
      <top style="thin">
        <color indexed="8"/>
      </top>
      <bottom/>
      <diagonal/>
    </border>
    <border>
      <left style="medium">
        <color indexed="64"/>
      </left>
      <right style="medium">
        <color indexed="8"/>
      </right>
      <top style="thin">
        <color indexed="8"/>
      </top>
      <bottom style="thin">
        <color indexed="8"/>
      </bottom>
      <diagonal/>
    </border>
    <border>
      <left style="medium">
        <color indexed="64"/>
      </left>
      <right/>
      <top style="thin">
        <color indexed="8"/>
      </top>
      <bottom style="medium">
        <color indexed="8"/>
      </bottom>
      <diagonal/>
    </border>
    <border>
      <left/>
      <right style="medium">
        <color indexed="64"/>
      </right>
      <top style="thin">
        <color indexed="8"/>
      </top>
      <bottom style="medium">
        <color indexed="8"/>
      </bottom>
      <diagonal/>
    </border>
    <border>
      <left/>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8"/>
      </left>
      <right style="medium">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medium">
        <color indexed="64"/>
      </left>
      <right style="medium">
        <color indexed="8"/>
      </right>
      <top/>
      <bottom style="thin">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64"/>
      </left>
      <right style="medium">
        <color indexed="64"/>
      </right>
      <top style="hair">
        <color indexed="64"/>
      </top>
      <bottom/>
      <diagonal/>
    </border>
    <border>
      <left style="medium">
        <color indexed="8"/>
      </left>
      <right style="medium">
        <color indexed="8"/>
      </right>
      <top style="hair">
        <color indexed="8"/>
      </top>
      <bottom/>
      <diagonal/>
    </border>
    <border>
      <left style="medium">
        <color indexed="64"/>
      </left>
      <right style="medium">
        <color indexed="64"/>
      </right>
      <top/>
      <bottom style="hair">
        <color indexed="64"/>
      </bottom>
      <diagonal/>
    </border>
    <border>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bottom style="medium">
        <color indexed="64"/>
      </bottom>
      <diagonal/>
    </border>
    <border>
      <left style="medium">
        <color indexed="8"/>
      </left>
      <right/>
      <top style="medium">
        <color indexed="8"/>
      </top>
      <bottom/>
      <diagonal/>
    </border>
    <border>
      <left style="medium">
        <color indexed="64"/>
      </left>
      <right/>
      <top style="medium">
        <color indexed="8"/>
      </top>
      <bottom/>
      <diagonal/>
    </border>
    <border>
      <left/>
      <right/>
      <top style="medium">
        <color indexed="8"/>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bottom style="medium">
        <color indexed="64"/>
      </bottom>
      <diagonal/>
    </border>
    <border>
      <left style="medium">
        <color indexed="64"/>
      </left>
      <right style="medium">
        <color indexed="8"/>
      </right>
      <top style="medium">
        <color indexed="8"/>
      </top>
      <bottom style="hair">
        <color indexed="64"/>
      </bottom>
      <diagonal/>
    </border>
    <border>
      <left style="medium">
        <color indexed="8"/>
      </left>
      <right/>
      <top style="medium">
        <color indexed="8"/>
      </top>
      <bottom style="hair">
        <color indexed="64"/>
      </bottom>
      <diagonal/>
    </border>
    <border>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hair">
        <color indexed="64"/>
      </bottom>
      <diagonal/>
    </border>
    <border>
      <left style="medium">
        <color indexed="8"/>
      </left>
      <right style="medium">
        <color indexed="64"/>
      </right>
      <top style="medium">
        <color indexed="8"/>
      </top>
      <bottom style="hair">
        <color indexed="64"/>
      </bottom>
      <diagonal/>
    </border>
    <border>
      <left style="medium">
        <color indexed="8"/>
      </left>
      <right style="medium">
        <color indexed="64"/>
      </right>
      <top style="hair">
        <color indexed="64"/>
      </top>
      <bottom style="hair">
        <color indexed="64"/>
      </bottom>
      <diagonal/>
    </border>
    <border>
      <left style="medium">
        <color indexed="8"/>
      </left>
      <right/>
      <top/>
      <bottom style="thin">
        <color indexed="8"/>
      </bottom>
      <diagonal/>
    </border>
    <border>
      <left style="thin">
        <color indexed="8"/>
      </left>
      <right style="thin">
        <color indexed="8"/>
      </right>
      <top style="hair">
        <color indexed="64"/>
      </top>
      <bottom style="hair">
        <color indexed="64"/>
      </bottom>
      <diagonal/>
    </border>
    <border>
      <left/>
      <right style="thin">
        <color indexed="8"/>
      </right>
      <top style="hair">
        <color indexed="64"/>
      </top>
      <bottom style="hair">
        <color indexed="64"/>
      </bottom>
      <diagonal/>
    </border>
    <border>
      <left style="medium">
        <color indexed="64"/>
      </left>
      <right style="medium">
        <color indexed="8"/>
      </right>
      <top/>
      <bottom style="hair">
        <color indexed="64"/>
      </bottom>
      <diagonal/>
    </border>
    <border>
      <left/>
      <right style="medium">
        <color indexed="8"/>
      </right>
      <top/>
      <bottom style="thin">
        <color indexed="8"/>
      </bottom>
      <diagonal/>
    </border>
    <border>
      <left style="medium">
        <color indexed="8"/>
      </left>
      <right/>
      <top style="thin">
        <color indexed="8"/>
      </top>
      <bottom/>
      <diagonal/>
    </border>
    <border>
      <left style="medium">
        <color indexed="64"/>
      </left>
      <right/>
      <top style="thin">
        <color indexed="8"/>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64"/>
      </left>
      <right style="medium">
        <color indexed="64"/>
      </right>
      <top/>
      <bottom style="medium">
        <color indexed="8"/>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417">
    <xf numFmtId="0" fontId="0" fillId="0" borderId="0"/>
    <xf numFmtId="164" fontId="11" fillId="0" borderId="0" applyFill="0" applyBorder="0" applyAlignment="0" applyProtection="0"/>
    <xf numFmtId="0" fontId="11" fillId="0" borderId="0"/>
    <xf numFmtId="165" fontId="11" fillId="0" borderId="0" applyFont="0" applyFill="0" applyBorder="0" applyAlignment="0" applyProtection="0"/>
    <xf numFmtId="0" fontId="10" fillId="0" borderId="0"/>
    <xf numFmtId="0" fontId="18" fillId="0" borderId="0"/>
    <xf numFmtId="9" fontId="1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1" fillId="0" borderId="0"/>
    <xf numFmtId="9" fontId="21" fillId="0" borderId="0" applyFont="0" applyFill="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4" fillId="16" borderId="0" applyNumberFormat="0" applyBorder="0" applyAlignment="0" applyProtection="0"/>
    <xf numFmtId="0" fontId="25" fillId="17" borderId="56" applyNumberFormat="0" applyAlignment="0" applyProtection="0"/>
    <xf numFmtId="0" fontId="26" fillId="15" borderId="57" applyNumberFormat="0" applyAlignment="0" applyProtection="0"/>
    <xf numFmtId="0" fontId="27" fillId="0" borderId="58" applyNumberFormat="0" applyFill="0" applyAlignment="0" applyProtection="0"/>
    <xf numFmtId="0" fontId="11" fillId="0" borderId="0" applyFont="0" applyFill="0" applyProtection="0">
      <alignment vertical="top"/>
    </xf>
    <xf numFmtId="0" fontId="23" fillId="14"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8" fillId="9" borderId="56" applyNumberFormat="0" applyAlignment="0" applyProtection="0"/>
    <xf numFmtId="168" fontId="11" fillId="0" borderId="0" applyFont="0" applyFill="0" applyBorder="0" applyAlignment="0" applyProtection="0"/>
    <xf numFmtId="2" fontId="11" fillId="0" borderId="0" applyFont="0" applyFill="0" applyProtection="0">
      <alignment vertical="top"/>
    </xf>
    <xf numFmtId="0" fontId="29" fillId="22" borderId="0" applyNumberFormat="0" applyBorder="0" applyAlignment="0" applyProtection="0"/>
    <xf numFmtId="3" fontId="11" fillId="0" borderId="0" applyFont="0" applyFill="0" applyBorder="0" applyAlignment="0" applyProtection="0"/>
    <xf numFmtId="0" fontId="30" fillId="9" borderId="0" applyNumberFormat="0" applyBorder="0" applyAlignment="0" applyProtection="0"/>
    <xf numFmtId="0" fontId="11" fillId="0" borderId="0"/>
    <xf numFmtId="0" fontId="31" fillId="0" borderId="0"/>
    <xf numFmtId="0" fontId="31" fillId="0" borderId="0"/>
    <xf numFmtId="0" fontId="31" fillId="0" borderId="0"/>
    <xf numFmtId="0" fontId="31" fillId="0" borderId="0"/>
    <xf numFmtId="0" fontId="9" fillId="0" borderId="0"/>
    <xf numFmtId="0" fontId="32" fillId="0" borderId="0"/>
    <xf numFmtId="0" fontId="11" fillId="10" borderId="59" applyNumberFormat="0" applyFont="0" applyAlignment="0" applyProtection="0"/>
    <xf numFmtId="0" fontId="33" fillId="17" borderId="6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1" applyNumberFormat="0" applyFill="0" applyAlignment="0" applyProtection="0"/>
    <xf numFmtId="0" fontId="37" fillId="0" borderId="62" applyNumberFormat="0" applyFill="0" applyAlignment="0" applyProtection="0"/>
    <xf numFmtId="0" fontId="38" fillId="0" borderId="6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4" applyNumberFormat="0" applyFill="0" applyAlignment="0" applyProtection="0"/>
    <xf numFmtId="167" fontId="31" fillId="0" borderId="0" applyFont="0" applyFill="0" applyBorder="0" applyAlignment="0" applyProtection="0"/>
    <xf numFmtId="167" fontId="11" fillId="0" borderId="0" applyFont="0" applyFill="0" applyBorder="0" applyAlignment="0" applyProtection="0"/>
    <xf numFmtId="3" fontId="11" fillId="0" borderId="0" applyFont="0" applyFill="0" applyBorder="0" applyAlignment="0" applyProtection="0"/>
    <xf numFmtId="0" fontId="11" fillId="0" borderId="0"/>
    <xf numFmtId="0" fontId="31" fillId="0" borderId="0"/>
    <xf numFmtId="0" fontId="48" fillId="0" borderId="0"/>
    <xf numFmtId="0" fontId="8" fillId="0" borderId="0"/>
    <xf numFmtId="43" fontId="8" fillId="0" borderId="0" applyFont="0" applyFill="0" applyBorder="0" applyAlignment="0" applyProtection="0"/>
    <xf numFmtId="0" fontId="7" fillId="0" borderId="0"/>
    <xf numFmtId="0" fontId="11" fillId="0" borderId="0"/>
    <xf numFmtId="3" fontId="50" fillId="0" borderId="0" applyFont="0" applyFill="0" applyBorder="0" applyAlignment="0" applyProtection="0"/>
    <xf numFmtId="170" fontId="50" fillId="0" borderId="0" applyFont="0" applyFill="0" applyBorder="0" applyAlignment="0" applyProtection="0"/>
    <xf numFmtId="0" fontId="50" fillId="0" borderId="0" applyFont="0" applyFill="0" applyBorder="0" applyAlignment="0" applyProtection="0"/>
    <xf numFmtId="2" fontId="5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171" fontId="11" fillId="0" borderId="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0" fontId="7" fillId="0" borderId="0"/>
    <xf numFmtId="0" fontId="7" fillId="0" borderId="0"/>
    <xf numFmtId="0" fontId="7" fillId="0" borderId="0"/>
    <xf numFmtId="0" fontId="11" fillId="0" borderId="0"/>
    <xf numFmtId="0" fontId="7" fillId="0" borderId="0"/>
    <xf numFmtId="0" fontId="54" fillId="0" borderId="0"/>
    <xf numFmtId="0" fontId="7" fillId="0" borderId="0"/>
    <xf numFmtId="0" fontId="11" fillId="0" borderId="0"/>
    <xf numFmtId="173" fontId="11" fillId="0" borderId="0"/>
    <xf numFmtId="174" fontId="11" fillId="0" borderId="0"/>
    <xf numFmtId="0" fontId="11" fillId="0" borderId="0"/>
    <xf numFmtId="0" fontId="7" fillId="0" borderId="0"/>
    <xf numFmtId="0" fontId="7" fillId="0" borderId="0"/>
    <xf numFmtId="0" fontId="7" fillId="0" borderId="0"/>
    <xf numFmtId="0" fontId="11" fillId="0" borderId="0" applyNumberFormat="0" applyFont="0" applyFill="0" applyBorder="0" applyAlignment="0" applyProtection="0">
      <alignment vertical="top"/>
    </xf>
    <xf numFmtId="0" fontId="11" fillId="0" borderId="0"/>
    <xf numFmtId="0" fontId="7" fillId="0" borderId="0"/>
    <xf numFmtId="0" fontId="7" fillId="0" borderId="0"/>
    <xf numFmtId="0" fontId="11" fillId="0" borderId="0"/>
    <xf numFmtId="0" fontId="11" fillId="0" borderId="0"/>
    <xf numFmtId="0" fontId="11" fillId="0" borderId="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11" fillId="0" borderId="0" applyFill="0" applyBorder="0" applyAlignment="0" applyProtection="0"/>
    <xf numFmtId="4" fontId="50" fillId="0" borderId="0" applyFont="0" applyFill="0" applyBorder="0" applyAlignment="0" applyProtection="0"/>
    <xf numFmtId="167" fontId="11" fillId="0" borderId="0" applyFont="0" applyFill="0" applyBorder="0" applyAlignment="0" applyProtection="0"/>
    <xf numFmtId="167" fontId="7" fillId="0" borderId="0" applyFont="0" applyFill="0" applyBorder="0" applyAlignment="0" applyProtection="0"/>
    <xf numFmtId="0" fontId="36" fillId="0" borderId="61" applyNumberFormat="0" applyFill="0" applyAlignment="0" applyProtection="0"/>
    <xf numFmtId="175" fontId="11" fillId="0" borderId="0"/>
    <xf numFmtId="0" fontId="6" fillId="0" borderId="0"/>
    <xf numFmtId="0" fontId="6" fillId="0" borderId="0"/>
    <xf numFmtId="0" fontId="61" fillId="0" borderId="0"/>
    <xf numFmtId="9" fontId="61" fillId="0" borderId="0" applyFont="0" applyFill="0" applyBorder="0" applyAlignment="0" applyProtection="0"/>
    <xf numFmtId="0" fontId="5"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7" fontId="11" fillId="0" borderId="0" applyFont="0" applyFill="0" applyBorder="0" applyAlignment="0" applyProtection="0"/>
    <xf numFmtId="0" fontId="82" fillId="0" borderId="0"/>
    <xf numFmtId="164" fontId="82"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174" fontId="11" fillId="0" borderId="0"/>
    <xf numFmtId="0" fontId="3" fillId="0" borderId="0"/>
    <xf numFmtId="0" fontId="3" fillId="0" borderId="0"/>
    <xf numFmtId="174"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5">
    <xf numFmtId="0" fontId="0" fillId="0" borderId="0" xfId="0"/>
    <xf numFmtId="0" fontId="11" fillId="0" borderId="0" xfId="2"/>
    <xf numFmtId="0" fontId="11" fillId="0" borderId="0" xfId="2" applyAlignment="1">
      <alignment horizontal="center"/>
    </xf>
    <xf numFmtId="0" fontId="12" fillId="2" borderId="5" xfId="2" applyFont="1" applyFill="1" applyBorder="1" applyAlignment="1">
      <alignment vertical="center"/>
    </xf>
    <xf numFmtId="0" fontId="12" fillId="2" borderId="6" xfId="2" applyFont="1" applyFill="1" applyBorder="1" applyAlignment="1">
      <alignment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4" fontId="11" fillId="0" borderId="10" xfId="1" applyNumberFormat="1" applyFont="1" applyFill="1" applyBorder="1" applyAlignment="1" applyProtection="1">
      <alignment horizontal="center" vertical="center"/>
    </xf>
    <xf numFmtId="4" fontId="11" fillId="0" borderId="11" xfId="1" applyNumberFormat="1" applyFont="1" applyFill="1" applyBorder="1" applyAlignment="1" applyProtection="1">
      <alignment horizontal="center" vertical="center"/>
    </xf>
    <xf numFmtId="0" fontId="12" fillId="0" borderId="13" xfId="2" applyNumberFormat="1" applyFont="1" applyBorder="1" applyAlignment="1">
      <alignment horizontal="left" vertical="center"/>
    </xf>
    <xf numFmtId="0" fontId="13" fillId="3" borderId="15" xfId="3" applyNumberFormat="1" applyFont="1" applyFill="1" applyBorder="1" applyAlignment="1" applyProtection="1">
      <alignment horizontal="left" vertical="center"/>
    </xf>
    <xf numFmtId="0" fontId="11" fillId="2" borderId="16" xfId="3" applyNumberFormat="1" applyFont="1" applyFill="1" applyBorder="1" applyAlignment="1" applyProtection="1">
      <alignment horizontal="left" vertical="center"/>
    </xf>
    <xf numFmtId="0" fontId="11" fillId="2" borderId="16" xfId="2" applyNumberFormat="1" applyFont="1" applyFill="1" applyBorder="1" applyAlignment="1">
      <alignment horizontal="left" vertical="center"/>
    </xf>
    <xf numFmtId="0" fontId="12" fillId="2" borderId="16" xfId="2" applyNumberFormat="1" applyFont="1" applyFill="1" applyBorder="1" applyAlignment="1">
      <alignment horizontal="left" vertical="center"/>
    </xf>
    <xf numFmtId="0" fontId="12" fillId="2" borderId="16" xfId="2" applyNumberFormat="1" applyFont="1" applyFill="1" applyBorder="1" applyAlignment="1">
      <alignment horizontal="center" vertical="center"/>
    </xf>
    <xf numFmtId="0" fontId="12" fillId="2" borderId="17" xfId="2" applyNumberFormat="1" applyFont="1" applyFill="1" applyBorder="1" applyAlignment="1">
      <alignment horizontal="center" vertical="center"/>
    </xf>
    <xf numFmtId="0" fontId="11" fillId="5" borderId="15" xfId="3" applyNumberFormat="1" applyFont="1" applyFill="1" applyBorder="1" applyAlignment="1" applyProtection="1">
      <alignment horizontal="left" vertical="center"/>
    </xf>
    <xf numFmtId="0" fontId="11" fillId="5" borderId="16" xfId="3" applyNumberFormat="1" applyFont="1" applyFill="1" applyBorder="1" applyAlignment="1" applyProtection="1">
      <alignment horizontal="left" vertical="center"/>
    </xf>
    <xf numFmtId="0" fontId="11" fillId="5" borderId="16" xfId="2" applyNumberFormat="1" applyFont="1" applyFill="1" applyBorder="1" applyAlignment="1">
      <alignment horizontal="left" vertical="center"/>
    </xf>
    <xf numFmtId="0" fontId="12" fillId="5" borderId="16" xfId="2" applyNumberFormat="1" applyFont="1" applyFill="1" applyBorder="1" applyAlignment="1">
      <alignment horizontal="left" vertical="center"/>
    </xf>
    <xf numFmtId="0" fontId="12" fillId="5" borderId="16" xfId="2" applyNumberFormat="1" applyFont="1" applyFill="1" applyBorder="1" applyAlignment="1">
      <alignment horizontal="center" vertical="center"/>
    </xf>
    <xf numFmtId="0" fontId="12" fillId="5" borderId="17" xfId="2" applyNumberFormat="1" applyFont="1" applyFill="1" applyBorder="1" applyAlignment="1">
      <alignment horizontal="center" vertical="center"/>
    </xf>
    <xf numFmtId="0" fontId="15" fillId="0" borderId="0" xfId="2" applyFont="1"/>
    <xf numFmtId="0" fontId="11" fillId="6" borderId="10" xfId="2" applyNumberFormat="1" applyFont="1" applyFill="1" applyBorder="1" applyAlignment="1">
      <alignment horizontal="center" vertical="center"/>
    </xf>
    <xf numFmtId="0" fontId="11" fillId="6" borderId="21" xfId="2" applyNumberFormat="1" applyFont="1" applyFill="1" applyBorder="1" applyAlignment="1">
      <alignment horizontal="left" vertical="center"/>
    </xf>
    <xf numFmtId="0" fontId="11" fillId="0" borderId="0" xfId="2" applyFont="1"/>
    <xf numFmtId="0" fontId="12" fillId="5" borderId="15" xfId="3" applyNumberFormat="1" applyFont="1" applyFill="1" applyBorder="1" applyAlignment="1" applyProtection="1">
      <alignment horizontal="left" vertical="center"/>
    </xf>
    <xf numFmtId="0" fontId="0" fillId="0" borderId="22" xfId="2" applyNumberFormat="1" applyFont="1" applyBorder="1" applyAlignment="1">
      <alignment horizontal="center" vertical="center"/>
    </xf>
    <xf numFmtId="0" fontId="11" fillId="0" borderId="11" xfId="2" applyNumberFormat="1" applyFont="1" applyBorder="1" applyAlignment="1">
      <alignment horizontal="center" vertical="center"/>
    </xf>
    <xf numFmtId="4" fontId="11" fillId="0" borderId="35" xfId="1" applyNumberFormat="1" applyFont="1" applyFill="1" applyBorder="1" applyAlignment="1" applyProtection="1">
      <alignment horizontal="right" vertical="center"/>
    </xf>
    <xf numFmtId="4" fontId="11" fillId="0" borderId="35" xfId="1" applyNumberFormat="1" applyFont="1" applyFill="1" applyBorder="1" applyAlignment="1" applyProtection="1">
      <alignment horizontal="center" vertical="center"/>
    </xf>
    <xf numFmtId="0" fontId="11" fillId="0" borderId="35" xfId="2" applyNumberFormat="1" applyFont="1" applyFill="1" applyBorder="1" applyAlignment="1">
      <alignment horizontal="center" vertical="center"/>
    </xf>
    <xf numFmtId="0" fontId="11" fillId="0" borderId="36" xfId="2" applyNumberFormat="1" applyFont="1" applyFill="1" applyBorder="1" applyAlignment="1">
      <alignment horizontal="left" vertical="center"/>
    </xf>
    <xf numFmtId="0" fontId="11" fillId="0" borderId="0" xfId="2" applyAlignment="1">
      <alignment vertical="center"/>
    </xf>
    <xf numFmtId="0" fontId="0" fillId="0" borderId="10" xfId="2" applyNumberFormat="1" applyFont="1" applyBorder="1" applyAlignment="1">
      <alignment horizontal="center" vertical="center"/>
    </xf>
    <xf numFmtId="0" fontId="0" fillId="4" borderId="10" xfId="2" applyNumberFormat="1" applyFont="1" applyFill="1" applyBorder="1" applyAlignment="1">
      <alignment horizontal="center" vertical="center"/>
    </xf>
    <xf numFmtId="0" fontId="11" fillId="0" borderId="0" xfId="2" applyFill="1"/>
    <xf numFmtId="0" fontId="12" fillId="0" borderId="35" xfId="2" applyNumberFormat="1" applyFont="1" applyFill="1" applyBorder="1" applyAlignment="1">
      <alignment horizontal="center" vertical="center"/>
    </xf>
    <xf numFmtId="0" fontId="12" fillId="0" borderId="38" xfId="2" applyNumberFormat="1" applyFont="1" applyFill="1" applyBorder="1" applyAlignment="1">
      <alignment horizontal="left" vertical="center"/>
    </xf>
    <xf numFmtId="4" fontId="11" fillId="0" borderId="53" xfId="1" applyNumberFormat="1" applyFont="1" applyFill="1" applyBorder="1" applyAlignment="1" applyProtection="1">
      <alignment horizontal="center" vertical="center"/>
    </xf>
    <xf numFmtId="4" fontId="12" fillId="2" borderId="17" xfId="2" applyNumberFormat="1" applyFont="1" applyFill="1" applyBorder="1" applyAlignment="1">
      <alignment horizontal="center" vertical="center"/>
    </xf>
    <xf numFmtId="4" fontId="12" fillId="7" borderId="15" xfId="1" applyNumberFormat="1" applyFont="1" applyFill="1" applyBorder="1" applyAlignment="1" applyProtection="1">
      <alignment horizontal="right" vertical="center"/>
    </xf>
    <xf numFmtId="4" fontId="12" fillId="2" borderId="39" xfId="2" applyNumberFormat="1" applyFont="1" applyFill="1" applyBorder="1" applyAlignment="1">
      <alignment horizontal="center" vertical="center"/>
    </xf>
    <xf numFmtId="0" fontId="0" fillId="0" borderId="11" xfId="2" applyNumberFormat="1" applyFont="1" applyFill="1" applyBorder="1" applyAlignment="1">
      <alignment horizontal="center" vertical="center"/>
    </xf>
    <xf numFmtId="0" fontId="0" fillId="0" borderId="14" xfId="2" applyNumberFormat="1" applyFont="1" applyFill="1" applyBorder="1" applyAlignment="1">
      <alignment horizontal="left" vertical="center"/>
    </xf>
    <xf numFmtId="0" fontId="11" fillId="0" borderId="12" xfId="2" applyNumberFormat="1" applyFont="1" applyBorder="1" applyAlignment="1">
      <alignment horizontal="left" vertical="center"/>
    </xf>
    <xf numFmtId="4" fontId="12" fillId="2" borderId="39" xfId="2" applyNumberFormat="1" applyFont="1" applyFill="1" applyBorder="1" applyAlignment="1">
      <alignment horizontal="right" vertical="center"/>
    </xf>
    <xf numFmtId="0" fontId="14" fillId="0" borderId="0" xfId="0" applyFont="1"/>
    <xf numFmtId="0" fontId="0" fillId="0" borderId="0" xfId="0" applyFont="1"/>
    <xf numFmtId="0" fontId="0" fillId="0" borderId="0" xfId="0" applyBorder="1"/>
    <xf numFmtId="0" fontId="0" fillId="0" borderId="0" xfId="0" applyBorder="1" applyAlignment="1">
      <alignment horizontal="left"/>
    </xf>
    <xf numFmtId="4" fontId="0" fillId="0" borderId="0" xfId="0" applyNumberFormat="1" applyFont="1" applyAlignment="1">
      <alignment horizontal="right"/>
    </xf>
    <xf numFmtId="0" fontId="0" fillId="0" borderId="0" xfId="0" applyFont="1" applyAlignment="1">
      <alignment horizontal="center"/>
    </xf>
    <xf numFmtId="0" fontId="0" fillId="6" borderId="11" xfId="2" applyNumberFormat="1" applyFont="1" applyFill="1" applyBorder="1" applyAlignment="1">
      <alignment horizontal="center" vertical="center"/>
    </xf>
    <xf numFmtId="0" fontId="0" fillId="0" borderId="11" xfId="2" applyNumberFormat="1" applyFont="1" applyBorder="1" applyAlignment="1">
      <alignment horizontal="center" vertical="center"/>
    </xf>
    <xf numFmtId="0" fontId="0" fillId="0" borderId="44" xfId="0" applyBorder="1"/>
    <xf numFmtId="0" fontId="11" fillId="0" borderId="13" xfId="2" applyBorder="1" applyAlignment="1">
      <alignment horizontal="center"/>
    </xf>
    <xf numFmtId="0" fontId="11" fillId="0" borderId="13" xfId="2" applyBorder="1"/>
    <xf numFmtId="0" fontId="11" fillId="0" borderId="12" xfId="2" applyBorder="1"/>
    <xf numFmtId="0" fontId="11" fillId="0" borderId="0" xfId="2" applyBorder="1"/>
    <xf numFmtId="0" fontId="11" fillId="0" borderId="43" xfId="2" applyBorder="1"/>
    <xf numFmtId="0" fontId="11" fillId="0" borderId="26" xfId="2" applyBorder="1"/>
    <xf numFmtId="0" fontId="11" fillId="0" borderId="25" xfId="2" applyBorder="1"/>
    <xf numFmtId="0" fontId="12" fillId="0" borderId="14" xfId="2" applyFont="1" applyBorder="1" applyAlignment="1">
      <alignment horizontal="left"/>
    </xf>
    <xf numFmtId="0" fontId="41" fillId="0" borderId="0" xfId="0" applyFont="1" applyBorder="1" applyAlignment="1"/>
    <xf numFmtId="0" fontId="0" fillId="0" borderId="26" xfId="0" applyBorder="1"/>
    <xf numFmtId="0" fontId="0" fillId="0" borderId="26" xfId="0" applyBorder="1" applyAlignment="1">
      <alignment horizontal="left"/>
    </xf>
    <xf numFmtId="0" fontId="0" fillId="4" borderId="22" xfId="2" applyNumberFormat="1" applyFont="1" applyFill="1" applyBorder="1" applyAlignment="1">
      <alignment horizontal="left" vertical="center"/>
    </xf>
    <xf numFmtId="4" fontId="11" fillId="0" borderId="65" xfId="1" applyNumberFormat="1" applyFont="1" applyFill="1" applyBorder="1" applyAlignment="1" applyProtection="1">
      <alignment horizontal="center" vertical="center"/>
    </xf>
    <xf numFmtId="0" fontId="11" fillId="0" borderId="14" xfId="2" applyNumberFormat="1" applyFont="1" applyBorder="1" applyAlignment="1">
      <alignment horizontal="center" vertical="center"/>
    </xf>
    <xf numFmtId="0" fontId="11" fillId="6" borderId="22" xfId="2" applyNumberFormat="1" applyFont="1" applyFill="1" applyBorder="1" applyAlignment="1">
      <alignment horizontal="center" vertical="center"/>
    </xf>
    <xf numFmtId="0" fontId="0" fillId="0" borderId="14" xfId="0" applyFont="1" applyBorder="1"/>
    <xf numFmtId="0" fontId="0" fillId="0" borderId="68" xfId="0" applyBorder="1"/>
    <xf numFmtId="0" fontId="12" fillId="0" borderId="69" xfId="2" applyNumberFormat="1" applyFont="1" applyBorder="1" applyAlignment="1">
      <alignment horizontal="left" vertical="center"/>
    </xf>
    <xf numFmtId="4" fontId="57" fillId="0" borderId="0" xfId="2" applyNumberFormat="1" applyFont="1"/>
    <xf numFmtId="0" fontId="57" fillId="0" borderId="0" xfId="2" applyFont="1"/>
    <xf numFmtId="0" fontId="57" fillId="0" borderId="0" xfId="2" applyFont="1" applyAlignment="1">
      <alignment vertical="center"/>
    </xf>
    <xf numFmtId="0" fontId="57" fillId="0" borderId="0" xfId="2" applyFont="1" applyFill="1"/>
    <xf numFmtId="0" fontId="0" fillId="0" borderId="70" xfId="2" applyNumberFormat="1" applyFont="1" applyFill="1" applyBorder="1" applyAlignment="1">
      <alignment horizontal="left" vertical="center"/>
    </xf>
    <xf numFmtId="2" fontId="0" fillId="0" borderId="0" xfId="0" applyNumberFormat="1"/>
    <xf numFmtId="0" fontId="0" fillId="0" borderId="76" xfId="2" applyNumberFormat="1" applyFont="1" applyFill="1" applyBorder="1" applyAlignment="1">
      <alignment horizontal="left" vertical="center"/>
    </xf>
    <xf numFmtId="0" fontId="12" fillId="0" borderId="71" xfId="2" applyNumberFormat="1" applyFont="1" applyBorder="1" applyAlignment="1">
      <alignment vertical="center"/>
    </xf>
    <xf numFmtId="0" fontId="12" fillId="0" borderId="71" xfId="2" applyNumberFormat="1" applyFont="1" applyBorder="1" applyAlignment="1">
      <alignment horizontal="right" vertical="center"/>
    </xf>
    <xf numFmtId="0" fontId="0" fillId="0" borderId="33" xfId="2" applyNumberFormat="1" applyFont="1" applyBorder="1" applyAlignment="1">
      <alignment horizontal="left" vertical="center" wrapText="1"/>
    </xf>
    <xf numFmtId="0" fontId="0" fillId="0" borderId="0" xfId="2" applyNumberFormat="1" applyFont="1" applyBorder="1" applyAlignment="1">
      <alignment horizontal="left" vertical="center" wrapText="1"/>
    </xf>
    <xf numFmtId="0" fontId="0" fillId="0" borderId="0" xfId="2" applyNumberFormat="1" applyFont="1" applyBorder="1" applyAlignment="1">
      <alignment horizontal="center" vertical="center" wrapText="1"/>
    </xf>
    <xf numFmtId="176" fontId="0" fillId="0" borderId="0" xfId="0" applyNumberFormat="1"/>
    <xf numFmtId="0" fontId="0" fillId="0" borderId="77" xfId="2" applyNumberFormat="1" applyFont="1" applyFill="1" applyBorder="1" applyAlignment="1">
      <alignment horizontal="left" vertical="center"/>
    </xf>
    <xf numFmtId="0" fontId="0" fillId="0" borderId="0" xfId="0" applyAlignment="1">
      <alignment horizontal="right"/>
    </xf>
    <xf numFmtId="0" fontId="11" fillId="0" borderId="44" xfId="73" applyFont="1" applyBorder="1" applyAlignment="1">
      <alignment horizontal="center" vertical="center"/>
    </xf>
    <xf numFmtId="0" fontId="11" fillId="0" borderId="86" xfId="73" applyFont="1" applyBorder="1" applyAlignment="1">
      <alignment vertical="center"/>
    </xf>
    <xf numFmtId="0" fontId="11" fillId="0" borderId="34" xfId="73" applyFont="1" applyBorder="1" applyAlignment="1">
      <alignment horizontal="center" vertical="center"/>
    </xf>
    <xf numFmtId="0" fontId="11" fillId="0" borderId="38" xfId="73" applyFont="1" applyBorder="1" applyAlignment="1">
      <alignment horizontal="center" vertical="center"/>
    </xf>
    <xf numFmtId="0" fontId="11" fillId="0" borderId="92" xfId="73" applyFont="1" applyBorder="1" applyAlignment="1">
      <alignment vertical="center"/>
    </xf>
    <xf numFmtId="0" fontId="11" fillId="0" borderId="66" xfId="73" applyFont="1" applyFill="1" applyBorder="1" applyAlignment="1">
      <alignment vertical="center"/>
    </xf>
    <xf numFmtId="9" fontId="20" fillId="4" borderId="89" xfId="73" applyNumberFormat="1" applyFont="1" applyFill="1" applyBorder="1" applyAlignment="1">
      <alignment horizontal="center" vertical="center"/>
    </xf>
    <xf numFmtId="0" fontId="11" fillId="0" borderId="90" xfId="73" applyFont="1" applyBorder="1" applyAlignment="1">
      <alignment vertical="center"/>
    </xf>
    <xf numFmtId="9" fontId="20" fillId="0" borderId="89" xfId="73" applyNumberFormat="1" applyFont="1" applyFill="1" applyBorder="1" applyAlignment="1">
      <alignment horizontal="center" vertical="center"/>
    </xf>
    <xf numFmtId="0" fontId="11" fillId="4" borderId="37" xfId="2" applyNumberFormat="1" applyFont="1" applyFill="1" applyBorder="1" applyAlignment="1">
      <alignment horizontal="left" vertical="center"/>
    </xf>
    <xf numFmtId="0" fontId="0" fillId="0" borderId="13" xfId="2" applyNumberFormat="1" applyFont="1" applyFill="1" applyBorder="1" applyAlignment="1">
      <alignment horizontal="left" vertical="center"/>
    </xf>
    <xf numFmtId="0" fontId="12" fillId="23" borderId="16" xfId="2" applyNumberFormat="1" applyFont="1" applyFill="1" applyBorder="1" applyAlignment="1">
      <alignment horizontal="left" vertical="center"/>
    </xf>
    <xf numFmtId="0" fontId="11" fillId="23" borderId="16" xfId="3" applyNumberFormat="1" applyFont="1" applyFill="1" applyBorder="1" applyAlignment="1" applyProtection="1">
      <alignment horizontal="left" vertical="center"/>
    </xf>
    <xf numFmtId="4" fontId="12" fillId="25" borderId="50" xfId="1" applyNumberFormat="1" applyFont="1" applyFill="1" applyBorder="1" applyAlignment="1" applyProtection="1">
      <alignment horizontal="right" vertical="center"/>
    </xf>
    <xf numFmtId="0" fontId="12" fillId="23" borderId="17" xfId="2" applyNumberFormat="1" applyFont="1" applyFill="1" applyBorder="1" applyAlignment="1">
      <alignment horizontal="center" vertical="center"/>
    </xf>
    <xf numFmtId="0" fontId="12" fillId="26" borderId="17" xfId="2" applyNumberFormat="1" applyFont="1" applyFill="1" applyBorder="1" applyAlignment="1">
      <alignment horizontal="center" vertical="center"/>
    </xf>
    <xf numFmtId="0" fontId="12" fillId="26" borderId="16" xfId="2" applyNumberFormat="1" applyFont="1" applyFill="1" applyBorder="1" applyAlignment="1">
      <alignment horizontal="left" vertical="center"/>
    </xf>
    <xf numFmtId="0" fontId="11" fillId="26" borderId="16" xfId="3" applyNumberFormat="1" applyFont="1" applyFill="1" applyBorder="1" applyAlignment="1" applyProtection="1">
      <alignment horizontal="left" vertical="center"/>
    </xf>
    <xf numFmtId="0" fontId="12" fillId="26" borderId="14" xfId="2" applyNumberFormat="1" applyFont="1" applyFill="1" applyBorder="1" applyAlignment="1">
      <alignment horizontal="center" vertical="center"/>
    </xf>
    <xf numFmtId="0" fontId="12" fillId="26" borderId="13" xfId="2" applyNumberFormat="1" applyFont="1" applyFill="1" applyBorder="1" applyAlignment="1">
      <alignment horizontal="left" vertical="center"/>
    </xf>
    <xf numFmtId="0" fontId="11" fillId="26" borderId="13" xfId="3" applyNumberFormat="1" applyFont="1" applyFill="1" applyBorder="1" applyAlignment="1" applyProtection="1">
      <alignment horizontal="left" vertical="center"/>
    </xf>
    <xf numFmtId="4" fontId="11" fillId="0" borderId="0" xfId="2" applyNumberFormat="1" applyFont="1"/>
    <xf numFmtId="0" fontId="11" fillId="0" borderId="0" xfId="2" applyFont="1" applyAlignment="1">
      <alignment vertical="center"/>
    </xf>
    <xf numFmtId="0" fontId="12" fillId="25" borderId="71" xfId="2" applyNumberFormat="1" applyFont="1" applyFill="1" applyBorder="1" applyAlignment="1">
      <alignment horizontal="left" vertical="center"/>
    </xf>
    <xf numFmtId="0" fontId="12" fillId="25" borderId="71" xfId="2" applyNumberFormat="1" applyFont="1" applyFill="1" applyBorder="1" applyAlignment="1">
      <alignment horizontal="center" vertical="center"/>
    </xf>
    <xf numFmtId="0" fontId="0" fillId="25" borderId="71" xfId="2" applyNumberFormat="1" applyFont="1" applyFill="1" applyBorder="1" applyAlignment="1">
      <alignment horizontal="right" vertical="center"/>
    </xf>
    <xf numFmtId="0" fontId="11" fillId="0" borderId="37" xfId="2" applyNumberFormat="1" applyFont="1" applyFill="1" applyBorder="1" applyAlignment="1">
      <alignment horizontal="center" vertical="center"/>
    </xf>
    <xf numFmtId="4" fontId="0" fillId="4" borderId="22" xfId="2" applyNumberFormat="1" applyFont="1" applyFill="1" applyBorder="1" applyAlignment="1">
      <alignment horizontal="center" vertical="center"/>
    </xf>
    <xf numFmtId="4" fontId="0" fillId="0" borderId="0" xfId="2" applyNumberFormat="1" applyFont="1" applyBorder="1" applyAlignment="1">
      <alignment horizontal="center" vertical="center"/>
    </xf>
    <xf numFmtId="4" fontId="0" fillId="0" borderId="14" xfId="2" applyNumberFormat="1" applyFont="1" applyBorder="1" applyAlignment="1">
      <alignment horizontal="center" vertical="center"/>
    </xf>
    <xf numFmtId="4" fontId="0" fillId="0" borderId="22" xfId="2" applyNumberFormat="1" applyFont="1" applyBorder="1" applyAlignment="1">
      <alignment horizontal="center" vertical="center"/>
    </xf>
    <xf numFmtId="4" fontId="0" fillId="0" borderId="69" xfId="2" applyNumberFormat="1" applyFont="1" applyBorder="1" applyAlignment="1">
      <alignment horizontal="center" vertical="center"/>
    </xf>
    <xf numFmtId="0" fontId="5" fillId="0" borderId="0" xfId="124" applyFont="1"/>
    <xf numFmtId="44" fontId="59" fillId="0" borderId="43" xfId="124" applyNumberFormat="1" applyFont="1" applyBorder="1" applyAlignment="1">
      <alignment vertical="center"/>
    </xf>
    <xf numFmtId="9" fontId="5" fillId="0" borderId="0" xfId="124" applyNumberFormat="1" applyFont="1"/>
    <xf numFmtId="44" fontId="59" fillId="0" borderId="91" xfId="124" applyNumberFormat="1" applyFont="1" applyBorder="1" applyAlignment="1">
      <alignment vertical="center"/>
    </xf>
    <xf numFmtId="4" fontId="5" fillId="0" borderId="0" xfId="124" applyNumberFormat="1" applyFont="1"/>
    <xf numFmtId="44" fontId="59" fillId="0" borderId="96" xfId="124" applyNumberFormat="1" applyFont="1" applyBorder="1" applyAlignment="1">
      <alignment vertical="center"/>
    </xf>
    <xf numFmtId="0" fontId="11" fillId="4" borderId="109" xfId="2" applyNumberFormat="1" applyFont="1" applyFill="1" applyBorder="1" applyAlignment="1">
      <alignment horizontal="left" vertical="center"/>
    </xf>
    <xf numFmtId="0" fontId="0" fillId="0" borderId="114" xfId="0" applyBorder="1"/>
    <xf numFmtId="2" fontId="12" fillId="5" borderId="16" xfId="2" applyNumberFormat="1" applyFont="1" applyFill="1" applyBorder="1" applyAlignment="1">
      <alignment horizontal="center" vertical="center"/>
    </xf>
    <xf numFmtId="2" fontId="11" fillId="4" borderId="37" xfId="2" applyNumberFormat="1" applyFont="1" applyFill="1" applyBorder="1" applyAlignment="1">
      <alignment horizontal="center" vertical="center"/>
    </xf>
    <xf numFmtId="2" fontId="11" fillId="4" borderId="109" xfId="2" applyNumberFormat="1" applyFont="1" applyFill="1" applyBorder="1" applyAlignment="1">
      <alignment horizontal="center" vertical="center"/>
    </xf>
    <xf numFmtId="2" fontId="11" fillId="6" borderId="21" xfId="2" applyNumberFormat="1" applyFont="1" applyFill="1" applyBorder="1" applyAlignment="1">
      <alignment horizontal="center" vertical="center"/>
    </xf>
    <xf numFmtId="2" fontId="12" fillId="2" borderId="16" xfId="2" applyNumberFormat="1" applyFont="1" applyFill="1" applyBorder="1" applyAlignment="1">
      <alignment horizontal="center" vertical="center"/>
    </xf>
    <xf numFmtId="2" fontId="12" fillId="0" borderId="69" xfId="2" applyNumberFormat="1" applyFont="1" applyBorder="1" applyAlignment="1">
      <alignment horizontal="center" vertical="center"/>
    </xf>
    <xf numFmtId="2" fontId="12" fillId="2" borderId="6" xfId="2" applyNumberFormat="1" applyFont="1" applyFill="1" applyBorder="1" applyAlignment="1">
      <alignment horizontal="center" vertical="center"/>
    </xf>
    <xf numFmtId="2" fontId="11" fillId="0" borderId="13" xfId="2" applyNumberFormat="1" applyBorder="1" applyAlignment="1">
      <alignment horizontal="center"/>
    </xf>
    <xf numFmtId="2" fontId="41" fillId="0" borderId="0" xfId="0" applyNumberFormat="1" applyFont="1" applyBorder="1" applyAlignment="1"/>
    <xf numFmtId="2" fontId="0" fillId="0" borderId="0" xfId="0" applyNumberFormat="1" applyBorder="1"/>
    <xf numFmtId="2" fontId="0" fillId="0" borderId="26" xfId="0" applyNumberFormat="1" applyBorder="1"/>
    <xf numFmtId="2" fontId="11" fillId="0" borderId="0" xfId="2" applyNumberFormat="1"/>
    <xf numFmtId="2" fontId="11" fillId="0" borderId="0" xfId="2" applyNumberFormat="1" applyAlignment="1">
      <alignment horizontal="center"/>
    </xf>
    <xf numFmtId="4" fontId="11" fillId="0" borderId="22" xfId="1" applyNumberFormat="1" applyFont="1" applyBorder="1" applyAlignment="1">
      <alignment horizontal="center" vertical="center"/>
    </xf>
    <xf numFmtId="0" fontId="12" fillId="0" borderId="21" xfId="2" applyNumberFormat="1" applyFont="1" applyBorder="1" applyAlignment="1">
      <alignment horizontal="left" vertical="center"/>
    </xf>
    <xf numFmtId="0" fontId="14" fillId="4" borderId="109" xfId="2" applyNumberFormat="1" applyFont="1" applyFill="1" applyBorder="1" applyAlignment="1">
      <alignment horizontal="left" vertical="center"/>
    </xf>
    <xf numFmtId="2" fontId="14" fillId="4" borderId="109" xfId="1" applyNumberFormat="1" applyFont="1" applyFill="1" applyBorder="1" applyAlignment="1">
      <alignment horizontal="center" vertical="center"/>
    </xf>
    <xf numFmtId="4" fontId="11" fillId="0" borderId="65" xfId="1" applyNumberFormat="1" applyFont="1" applyFill="1" applyBorder="1" applyAlignment="1" applyProtection="1">
      <alignment horizontal="right" vertical="center"/>
    </xf>
    <xf numFmtId="0" fontId="0" fillId="6" borderId="53" xfId="2" applyNumberFormat="1" applyFont="1" applyFill="1" applyBorder="1" applyAlignment="1">
      <alignment horizontal="center" vertical="center"/>
    </xf>
    <xf numFmtId="0" fontId="0" fillId="0" borderId="53" xfId="2" applyNumberFormat="1" applyFont="1" applyBorder="1" applyAlignment="1">
      <alignment horizontal="center" vertical="center"/>
    </xf>
    <xf numFmtId="0" fontId="42" fillId="27" borderId="0" xfId="0" applyFont="1" applyFill="1" applyBorder="1" applyAlignment="1">
      <alignment horizontal="center"/>
    </xf>
    <xf numFmtId="0" fontId="12" fillId="0" borderId="115" xfId="2" applyNumberFormat="1" applyFont="1" applyBorder="1" applyAlignment="1">
      <alignment horizontal="left" vertical="center"/>
    </xf>
    <xf numFmtId="0" fontId="12" fillId="0" borderId="115" xfId="2" applyNumberFormat="1" applyFont="1" applyBorder="1" applyAlignment="1">
      <alignment horizontal="center" vertical="center"/>
    </xf>
    <xf numFmtId="4" fontId="11" fillId="0" borderId="115" xfId="2" applyNumberFormat="1" applyFont="1" applyBorder="1" applyAlignment="1">
      <alignment horizontal="center" vertical="center"/>
    </xf>
    <xf numFmtId="0" fontId="0" fillId="0" borderId="115" xfId="0" applyBorder="1"/>
    <xf numFmtId="0" fontId="0" fillId="0" borderId="0" xfId="0" applyFont="1" applyBorder="1" applyAlignment="1">
      <alignment horizontal="left"/>
    </xf>
    <xf numFmtId="0" fontId="14" fillId="0" borderId="0" xfId="0" applyFont="1" applyAlignment="1">
      <alignment horizontal="center"/>
    </xf>
    <xf numFmtId="0" fontId="11" fillId="4" borderId="116" xfId="2" applyNumberFormat="1" applyFont="1" applyFill="1" applyBorder="1" applyAlignment="1">
      <alignment horizontal="left" vertical="center"/>
    </xf>
    <xf numFmtId="2" fontId="11" fillId="4" borderId="116" xfId="2" applyNumberFormat="1" applyFont="1" applyFill="1" applyBorder="1" applyAlignment="1">
      <alignment horizontal="center" vertical="center"/>
    </xf>
    <xf numFmtId="0" fontId="12" fillId="4" borderId="0" xfId="2" applyFont="1" applyFill="1" applyBorder="1" applyAlignment="1">
      <alignment horizontal="center" vertical="center"/>
    </xf>
    <xf numFmtId="0" fontId="11" fillId="0" borderId="0" xfId="0" applyFont="1"/>
    <xf numFmtId="0" fontId="12" fillId="0" borderId="0" xfId="0" applyFont="1" applyAlignment="1">
      <alignment vertical="justify"/>
    </xf>
    <xf numFmtId="0" fontId="11" fillId="0" borderId="100" xfId="88" applyFont="1" applyBorder="1" applyAlignment="1">
      <alignment horizontal="left" wrapText="1"/>
    </xf>
    <xf numFmtId="0" fontId="11" fillId="0" borderId="100" xfId="88" applyFont="1" applyBorder="1" applyAlignment="1">
      <alignment horizontal="center"/>
    </xf>
    <xf numFmtId="0" fontId="11" fillId="0" borderId="0" xfId="88" applyFont="1" applyAlignment="1">
      <alignment horizontal="left" indent="1"/>
    </xf>
    <xf numFmtId="0" fontId="11" fillId="0" borderId="0" xfId="88" applyFont="1" applyAlignment="1">
      <alignment horizontal="left" wrapText="1"/>
    </xf>
    <xf numFmtId="0" fontId="11" fillId="0" borderId="0" xfId="88" applyFont="1" applyAlignment="1">
      <alignment horizontal="center"/>
    </xf>
    <xf numFmtId="0" fontId="11" fillId="0" borderId="0" xfId="88" applyFont="1"/>
    <xf numFmtId="4" fontId="0" fillId="4" borderId="112" xfId="2" applyNumberFormat="1" applyFont="1" applyFill="1" applyBorder="1" applyAlignment="1">
      <alignment horizontal="center" vertical="center"/>
    </xf>
    <xf numFmtId="0" fontId="19" fillId="0" borderId="0" xfId="0" applyFont="1" applyAlignment="1">
      <alignment horizontal="right"/>
    </xf>
    <xf numFmtId="4" fontId="0" fillId="0" borderId="0" xfId="0" applyNumberFormat="1" applyFont="1"/>
    <xf numFmtId="0" fontId="49" fillId="4" borderId="22" xfId="0" applyFont="1" applyFill="1" applyBorder="1" applyAlignment="1">
      <alignment horizontal="right"/>
    </xf>
    <xf numFmtId="0" fontId="11" fillId="0" borderId="34" xfId="88" applyFont="1" applyBorder="1" applyAlignment="1">
      <alignment horizontal="left" indent="1"/>
    </xf>
    <xf numFmtId="0" fontId="67" fillId="28" borderId="121" xfId="73" applyFont="1" applyFill="1" applyBorder="1" applyAlignment="1">
      <alignment horizontal="center" vertical="center" wrapText="1"/>
    </xf>
    <xf numFmtId="0" fontId="11" fillId="28" borderId="117" xfId="73" applyFont="1" applyFill="1" applyBorder="1" applyAlignment="1">
      <alignment horizontal="left" wrapText="1"/>
    </xf>
    <xf numFmtId="10" fontId="11" fillId="28" borderId="117" xfId="73" applyNumberFormat="1" applyFont="1" applyFill="1" applyBorder="1" applyAlignment="1">
      <alignment horizontal="center"/>
    </xf>
    <xf numFmtId="4" fontId="11" fillId="28" borderId="117" xfId="73" applyNumberFormat="1" applyFont="1" applyFill="1" applyBorder="1" applyAlignment="1">
      <alignment horizontal="center" vertical="center"/>
    </xf>
    <xf numFmtId="4" fontId="11" fillId="28" borderId="122" xfId="73" applyNumberFormat="1" applyFont="1" applyFill="1" applyBorder="1" applyAlignment="1">
      <alignment horizontal="center" vertical="center"/>
    </xf>
    <xf numFmtId="0" fontId="67" fillId="0" borderId="22" xfId="73" applyFont="1" applyBorder="1" applyAlignment="1">
      <alignment horizontal="center" vertical="center" wrapText="1"/>
    </xf>
    <xf numFmtId="0" fontId="67" fillId="0" borderId="118" xfId="73" applyFont="1" applyBorder="1" applyAlignment="1">
      <alignment horizontal="left" wrapText="1"/>
    </xf>
    <xf numFmtId="4" fontId="67" fillId="0" borderId="118" xfId="73" applyNumberFormat="1" applyFont="1" applyBorder="1" applyAlignment="1">
      <alignment horizontal="center"/>
    </xf>
    <xf numFmtId="4" fontId="11" fillId="0" borderId="118" xfId="73" applyNumberFormat="1" applyFont="1" applyBorder="1" applyAlignment="1">
      <alignment horizontal="center" vertical="center"/>
    </xf>
    <xf numFmtId="4" fontId="11" fillId="0" borderId="20" xfId="73" applyNumberFormat="1" applyFont="1" applyBorder="1" applyAlignment="1">
      <alignment horizontal="center" vertical="center"/>
    </xf>
    <xf numFmtId="0" fontId="11" fillId="0" borderId="22" xfId="73" applyFont="1" applyBorder="1" applyAlignment="1">
      <alignment horizontal="center" vertical="center" wrapText="1"/>
    </xf>
    <xf numFmtId="0" fontId="11" fillId="0" borderId="118" xfId="73" applyFont="1" applyBorder="1" applyAlignment="1">
      <alignment horizontal="left" wrapText="1"/>
    </xf>
    <xf numFmtId="4" fontId="11" fillId="0" borderId="118" xfId="73" applyNumberFormat="1" applyFont="1" applyBorder="1" applyAlignment="1">
      <alignment horizontal="center"/>
    </xf>
    <xf numFmtId="0" fontId="11" fillId="28" borderId="121" xfId="73" applyFont="1" applyFill="1" applyBorder="1" applyAlignment="1">
      <alignment horizontal="center" vertical="center" wrapText="1"/>
    </xf>
    <xf numFmtId="10" fontId="11" fillId="28" borderId="117" xfId="127" applyNumberFormat="1" applyFont="1" applyFill="1" applyBorder="1" applyAlignment="1">
      <alignment horizontal="center"/>
    </xf>
    <xf numFmtId="9" fontId="67" fillId="0" borderId="118" xfId="127" applyFont="1" applyBorder="1" applyAlignment="1">
      <alignment horizontal="center"/>
    </xf>
    <xf numFmtId="0" fontId="11" fillId="28" borderId="117" xfId="73" applyFont="1" applyFill="1" applyBorder="1" applyAlignment="1">
      <alignment horizontal="left" vertical="center" wrapText="1"/>
    </xf>
    <xf numFmtId="177" fontId="11" fillId="28" borderId="117" xfId="127" applyNumberFormat="1" applyFont="1" applyFill="1" applyBorder="1" applyAlignment="1">
      <alignment horizontal="center"/>
    </xf>
    <xf numFmtId="177" fontId="67" fillId="0" borderId="118" xfId="127" applyNumberFormat="1" applyFont="1" applyBorder="1" applyAlignment="1">
      <alignment horizontal="center"/>
    </xf>
    <xf numFmtId="0" fontId="11" fillId="28" borderId="121" xfId="73" applyFont="1" applyFill="1" applyBorder="1" applyAlignment="1">
      <alignment horizontal="left" wrapText="1"/>
    </xf>
    <xf numFmtId="0" fontId="11" fillId="0" borderId="22" xfId="73" applyFont="1" applyBorder="1" applyAlignment="1">
      <alignment horizontal="left" wrapText="1"/>
    </xf>
    <xf numFmtId="0" fontId="11" fillId="0" borderId="118" xfId="73" applyFont="1" applyBorder="1" applyAlignment="1">
      <alignment horizontal="center"/>
    </xf>
    <xf numFmtId="4" fontId="67" fillId="0" borderId="118" xfId="73" applyNumberFormat="1" applyFont="1" applyBorder="1" applyAlignment="1">
      <alignment horizontal="right"/>
    </xf>
    <xf numFmtId="4" fontId="67" fillId="0" borderId="20" xfId="73" applyNumberFormat="1" applyFont="1" applyBorder="1" applyAlignment="1">
      <alignment horizontal="right"/>
    </xf>
    <xf numFmtId="0" fontId="11" fillId="0" borderId="44" xfId="73" applyFont="1" applyBorder="1" applyAlignment="1">
      <alignment horizontal="left" wrapText="1"/>
    </xf>
    <xf numFmtId="0" fontId="11" fillId="0" borderId="0" xfId="73" applyFont="1" applyBorder="1" applyAlignment="1">
      <alignment horizontal="left" wrapText="1"/>
    </xf>
    <xf numFmtId="0" fontId="11" fillId="0" borderId="0" xfId="73" applyFont="1" applyBorder="1" applyAlignment="1">
      <alignment horizontal="center"/>
    </xf>
    <xf numFmtId="4" fontId="11" fillId="0" borderId="0" xfId="73" applyNumberFormat="1" applyFont="1" applyBorder="1" applyAlignment="1">
      <alignment horizontal="right"/>
    </xf>
    <xf numFmtId="4" fontId="11" fillId="0" borderId="43" xfId="73" applyNumberFormat="1" applyFont="1" applyBorder="1" applyAlignment="1">
      <alignment horizontal="right"/>
    </xf>
    <xf numFmtId="0" fontId="11" fillId="0" borderId="38" xfId="73" applyFont="1" applyBorder="1" applyAlignment="1">
      <alignment horizontal="left"/>
    </xf>
    <xf numFmtId="0" fontId="68" fillId="0" borderId="36" xfId="73" applyFont="1" applyBorder="1" applyAlignment="1"/>
    <xf numFmtId="0" fontId="11" fillId="0" borderId="44" xfId="73" applyFont="1" applyBorder="1" applyAlignment="1">
      <alignment horizontal="left"/>
    </xf>
    <xf numFmtId="0" fontId="12" fillId="0" borderId="0" xfId="73" applyFont="1" applyBorder="1" applyAlignment="1">
      <alignment horizontal="right"/>
    </xf>
    <xf numFmtId="0" fontId="68" fillId="0" borderId="43" xfId="73" applyFont="1" applyBorder="1" applyAlignment="1"/>
    <xf numFmtId="10" fontId="68" fillId="0" borderId="103" xfId="73" applyNumberFormat="1" applyFont="1" applyBorder="1" applyAlignment="1">
      <alignment horizontal="center" vertical="center"/>
    </xf>
    <xf numFmtId="0" fontId="42" fillId="27" borderId="43" xfId="0" applyFont="1" applyFill="1" applyBorder="1" applyAlignment="1">
      <alignment horizontal="center"/>
    </xf>
    <xf numFmtId="0" fontId="19" fillId="4" borderId="0" xfId="0" applyFont="1" applyFill="1" applyBorder="1" applyAlignment="1">
      <alignment horizontal="right"/>
    </xf>
    <xf numFmtId="4" fontId="0" fillId="4" borderId="0" xfId="0" applyNumberFormat="1" applyFont="1" applyFill="1" applyBorder="1" applyAlignment="1">
      <alignment horizontal="right"/>
    </xf>
    <xf numFmtId="0" fontId="0" fillId="4" borderId="43" xfId="0" applyFont="1" applyFill="1" applyBorder="1" applyAlignment="1">
      <alignment horizontal="center"/>
    </xf>
    <xf numFmtId="0" fontId="14" fillId="4" borderId="22" xfId="0" applyFont="1" applyFill="1" applyBorder="1" applyAlignment="1">
      <alignment horizontal="right"/>
    </xf>
    <xf numFmtId="0" fontId="14" fillId="4" borderId="118" xfId="0" applyFont="1" applyFill="1" applyBorder="1" applyAlignment="1">
      <alignment horizontal="left"/>
    </xf>
    <xf numFmtId="4" fontId="14" fillId="4" borderId="118" xfId="0" applyNumberFormat="1" applyFont="1" applyFill="1" applyBorder="1" applyAlignment="1">
      <alignment horizontal="right"/>
    </xf>
    <xf numFmtId="0" fontId="46" fillId="4" borderId="22" xfId="0" applyFont="1" applyFill="1" applyBorder="1" applyAlignment="1">
      <alignment horizontal="right"/>
    </xf>
    <xf numFmtId="4" fontId="43" fillId="4" borderId="118" xfId="0" applyNumberFormat="1" applyFont="1" applyFill="1" applyBorder="1" applyAlignment="1">
      <alignment horizontal="right"/>
    </xf>
    <xf numFmtId="0" fontId="43" fillId="4" borderId="118" xfId="0" applyFont="1" applyFill="1" applyBorder="1" applyAlignment="1">
      <alignment horizontal="left"/>
    </xf>
    <xf numFmtId="0" fontId="14" fillId="4" borderId="118" xfId="0" applyFont="1" applyFill="1" applyBorder="1" applyAlignment="1">
      <alignment horizontal="right"/>
    </xf>
    <xf numFmtId="4" fontId="62" fillId="4" borderId="118" xfId="0" applyNumberFormat="1" applyFont="1" applyFill="1" applyBorder="1" applyAlignment="1">
      <alignment horizontal="right"/>
    </xf>
    <xf numFmtId="0" fontId="62" fillId="4" borderId="118" xfId="0" applyFont="1" applyFill="1" applyBorder="1" applyAlignment="1">
      <alignment horizontal="left"/>
    </xf>
    <xf numFmtId="0" fontId="0" fillId="4" borderId="118" xfId="2" applyNumberFormat="1" applyFont="1" applyFill="1" applyBorder="1" applyAlignment="1">
      <alignment horizontal="left" vertical="center"/>
    </xf>
    <xf numFmtId="0" fontId="14" fillId="4" borderId="20" xfId="0" applyFont="1" applyFill="1" applyBorder="1" applyAlignment="1">
      <alignment horizontal="center"/>
    </xf>
    <xf numFmtId="0" fontId="12" fillId="25" borderId="126" xfId="2" applyNumberFormat="1" applyFont="1" applyFill="1" applyBorder="1" applyAlignment="1">
      <alignment horizontal="center" vertical="center"/>
    </xf>
    <xf numFmtId="0" fontId="12" fillId="25" borderId="127" xfId="2" applyNumberFormat="1" applyFont="1" applyFill="1" applyBorder="1" applyAlignment="1">
      <alignment horizontal="right" vertical="center"/>
    </xf>
    <xf numFmtId="2" fontId="0" fillId="0" borderId="131" xfId="2" applyNumberFormat="1" applyFont="1" applyFill="1" applyBorder="1" applyAlignment="1">
      <alignment horizontal="right" vertical="center"/>
    </xf>
    <xf numFmtId="0" fontId="0" fillId="0" borderId="132" xfId="2" applyNumberFormat="1" applyFont="1" applyFill="1" applyBorder="1" applyAlignment="1">
      <alignment horizontal="center" vertical="center"/>
    </xf>
    <xf numFmtId="0" fontId="12" fillId="0" borderId="126" xfId="2" applyNumberFormat="1" applyFont="1" applyBorder="1" applyAlignment="1">
      <alignment vertical="center"/>
    </xf>
    <xf numFmtId="2" fontId="12" fillId="0" borderId="127" xfId="2" applyNumberFormat="1" applyFont="1" applyBorder="1" applyAlignment="1">
      <alignment horizontal="right" vertical="center"/>
    </xf>
    <xf numFmtId="0" fontId="0" fillId="0" borderId="129" xfId="2" applyNumberFormat="1" applyFont="1" applyBorder="1" applyAlignment="1">
      <alignment horizontal="center" vertical="center"/>
    </xf>
    <xf numFmtId="0" fontId="12" fillId="4" borderId="44" xfId="2" applyFont="1" applyFill="1" applyBorder="1" applyAlignment="1">
      <alignment horizontal="left" vertical="center"/>
    </xf>
    <xf numFmtId="0" fontId="12" fillId="4" borderId="0" xfId="2" applyFont="1" applyFill="1" applyBorder="1" applyAlignment="1">
      <alignment vertical="center"/>
    </xf>
    <xf numFmtId="0" fontId="0" fillId="25" borderId="71" xfId="2" applyNumberFormat="1" applyFont="1" applyFill="1" applyBorder="1" applyAlignment="1">
      <alignment horizontal="left" vertical="center"/>
    </xf>
    <xf numFmtId="4" fontId="11" fillId="2" borderId="39" xfId="1" applyNumberFormat="1" applyFont="1" applyFill="1" applyBorder="1" applyAlignment="1" applyProtection="1">
      <alignment horizontal="center" vertical="center"/>
    </xf>
    <xf numFmtId="4" fontId="12" fillId="2" borderId="39" xfId="1" applyNumberFormat="1" applyFont="1" applyFill="1" applyBorder="1" applyAlignment="1" applyProtection="1">
      <alignment horizontal="right" vertical="center"/>
    </xf>
    <xf numFmtId="0" fontId="12" fillId="6" borderId="0" xfId="0" applyFont="1" applyFill="1" applyProtection="1"/>
    <xf numFmtId="0" fontId="0" fillId="6" borderId="0" xfId="0" applyFill="1" applyProtection="1"/>
    <xf numFmtId="0" fontId="0" fillId="6" borderId="0" xfId="0" applyFill="1" applyAlignment="1" applyProtection="1">
      <alignment horizontal="center"/>
    </xf>
    <xf numFmtId="0" fontId="69" fillId="6" borderId="0" xfId="0" applyFont="1" applyFill="1" applyProtection="1"/>
    <xf numFmtId="0" fontId="15" fillId="6" borderId="0" xfId="0" applyFont="1" applyFill="1" applyAlignment="1" applyProtection="1">
      <alignment horizontal="center"/>
    </xf>
    <xf numFmtId="0" fontId="69" fillId="6" borderId="0" xfId="0" applyFont="1" applyFill="1" applyBorder="1" applyProtection="1"/>
    <xf numFmtId="0" fontId="69" fillId="6" borderId="0" xfId="0" applyFont="1" applyFill="1" applyBorder="1" applyAlignment="1" applyProtection="1">
      <alignment horizontal="center"/>
    </xf>
    <xf numFmtId="0" fontId="0" fillId="6" borderId="0" xfId="0" applyFill="1" applyBorder="1" applyProtection="1"/>
    <xf numFmtId="0" fontId="11" fillId="6" borderId="0" xfId="0" applyFont="1" applyFill="1" applyAlignment="1" applyProtection="1">
      <alignment horizontal="left"/>
    </xf>
    <xf numFmtId="0" fontId="11" fillId="29" borderId="105" xfId="0" applyFont="1" applyFill="1" applyBorder="1" applyAlignment="1" applyProtection="1">
      <protection locked="0"/>
    </xf>
    <xf numFmtId="0" fontId="11" fillId="29" borderId="104" xfId="0" applyFont="1" applyFill="1" applyBorder="1" applyAlignment="1" applyProtection="1">
      <protection locked="0"/>
    </xf>
    <xf numFmtId="0" fontId="69" fillId="6" borderId="0" xfId="0" applyFont="1" applyFill="1" applyBorder="1" applyAlignment="1" applyProtection="1"/>
    <xf numFmtId="0" fontId="15" fillId="6" borderId="0" xfId="0" applyFont="1" applyFill="1" applyBorder="1" applyProtection="1"/>
    <xf numFmtId="0" fontId="15" fillId="6" borderId="0" xfId="0" applyFont="1" applyFill="1" applyProtection="1"/>
    <xf numFmtId="0" fontId="11" fillId="6" borderId="0" xfId="0" applyFont="1" applyFill="1" applyBorder="1" applyAlignment="1" applyProtection="1"/>
    <xf numFmtId="0" fontId="11" fillId="6" borderId="0" xfId="0" applyFont="1" applyFill="1" applyBorder="1" applyAlignment="1" applyProtection="1">
      <alignment horizontal="left"/>
      <protection locked="0"/>
    </xf>
    <xf numFmtId="0" fontId="11" fillId="6" borderId="0" xfId="0" applyFont="1" applyFill="1" applyBorder="1" applyAlignment="1" applyProtection="1">
      <protection locked="0"/>
    </xf>
    <xf numFmtId="0" fontId="0" fillId="6" borderId="0" xfId="0" applyFill="1" applyAlignment="1" applyProtection="1">
      <alignment horizontal="left"/>
    </xf>
    <xf numFmtId="0" fontId="11" fillId="6" borderId="0" xfId="0" applyFont="1" applyFill="1" applyBorder="1" applyProtection="1"/>
    <xf numFmtId="178" fontId="11" fillId="29" borderId="104" xfId="109" applyNumberFormat="1" applyFill="1" applyBorder="1" applyAlignment="1" applyProtection="1">
      <alignment horizontal="center"/>
      <protection locked="0"/>
    </xf>
    <xf numFmtId="167" fontId="11" fillId="29" borderId="104" xfId="130" applyFont="1" applyFill="1" applyBorder="1" applyAlignment="1" applyProtection="1">
      <alignment horizontal="center"/>
      <protection locked="0"/>
    </xf>
    <xf numFmtId="0" fontId="0" fillId="6" borderId="0" xfId="0" applyFill="1" applyBorder="1" applyAlignment="1" applyProtection="1">
      <alignment horizontal="center"/>
    </xf>
    <xf numFmtId="0" fontId="72" fillId="30" borderId="137" xfId="0" applyFont="1" applyFill="1" applyBorder="1" applyAlignment="1" applyProtection="1">
      <alignment horizontal="center"/>
    </xf>
    <xf numFmtId="0" fontId="72" fillId="30" borderId="138" xfId="0" applyFont="1" applyFill="1" applyBorder="1" applyAlignment="1" applyProtection="1">
      <alignment horizontal="center"/>
    </xf>
    <xf numFmtId="0" fontId="0" fillId="6" borderId="98" xfId="0" applyFill="1" applyBorder="1" applyAlignment="1" applyProtection="1">
      <alignment horizontal="center"/>
    </xf>
    <xf numFmtId="178" fontId="11" fillId="29" borderId="98" xfId="109" applyNumberFormat="1" applyFill="1" applyBorder="1" applyAlignment="1" applyProtection="1">
      <alignment horizontal="center"/>
      <protection locked="0"/>
    </xf>
    <xf numFmtId="178" fontId="0" fillId="6" borderId="98" xfId="0" applyNumberFormat="1" applyFill="1" applyBorder="1" applyAlignment="1" applyProtection="1">
      <alignment horizontal="center"/>
    </xf>
    <xf numFmtId="2" fontId="69" fillId="6" borderId="0" xfId="0" applyNumberFormat="1" applyFont="1" applyFill="1" applyProtection="1"/>
    <xf numFmtId="0" fontId="0" fillId="6" borderId="104" xfId="0" applyFill="1" applyBorder="1" applyAlignment="1" applyProtection="1">
      <alignment horizontal="center"/>
    </xf>
    <xf numFmtId="178" fontId="11" fillId="6" borderId="104" xfId="109" applyNumberFormat="1" applyFill="1" applyBorder="1" applyAlignment="1" applyProtection="1">
      <alignment horizontal="center"/>
    </xf>
    <xf numFmtId="0" fontId="0" fillId="6" borderId="105" xfId="0" applyFill="1" applyBorder="1" applyAlignment="1" applyProtection="1">
      <alignment horizontal="left" indent="1"/>
    </xf>
    <xf numFmtId="0" fontId="11" fillId="6" borderId="6" xfId="0" applyFont="1" applyFill="1" applyBorder="1" applyAlignment="1" applyProtection="1">
      <alignment horizontal="left" indent="1"/>
    </xf>
    <xf numFmtId="0" fontId="0" fillId="6" borderId="6" xfId="0" applyFill="1" applyBorder="1" applyAlignment="1" applyProtection="1">
      <alignment horizontal="left" indent="1"/>
    </xf>
    <xf numFmtId="0" fontId="0" fillId="6" borderId="106" xfId="0" applyFill="1" applyBorder="1" applyProtection="1"/>
    <xf numFmtId="178" fontId="11" fillId="29" borderId="98" xfId="109" applyNumberFormat="1" applyFont="1" applyFill="1" applyBorder="1" applyAlignment="1" applyProtection="1">
      <alignment horizontal="center"/>
      <protection locked="0"/>
    </xf>
    <xf numFmtId="0" fontId="0" fillId="6" borderId="99" xfId="0" applyFill="1" applyBorder="1" applyAlignment="1" applyProtection="1">
      <alignment horizontal="left" indent="1"/>
    </xf>
    <xf numFmtId="0" fontId="11" fillId="6" borderId="140" xfId="0" applyFont="1" applyFill="1" applyBorder="1" applyAlignment="1" applyProtection="1">
      <alignment horizontal="left" indent="1"/>
    </xf>
    <xf numFmtId="0" fontId="0" fillId="6" borderId="140" xfId="0" applyFill="1" applyBorder="1" applyProtection="1"/>
    <xf numFmtId="0" fontId="11" fillId="6" borderId="106" xfId="0" applyFont="1" applyFill="1" applyBorder="1" applyAlignment="1" applyProtection="1">
      <alignment horizontal="left" indent="1"/>
    </xf>
    <xf numFmtId="2" fontId="0" fillId="6" borderId="0" xfId="0" applyNumberFormat="1" applyFill="1" applyAlignment="1" applyProtection="1">
      <alignment horizontal="center"/>
    </xf>
    <xf numFmtId="0" fontId="72" fillId="31" borderId="137" xfId="0" applyFont="1" applyFill="1" applyBorder="1" applyAlignment="1" applyProtection="1">
      <alignment horizontal="center"/>
    </xf>
    <xf numFmtId="0" fontId="72" fillId="31" borderId="138" xfId="0" applyFont="1" applyFill="1" applyBorder="1" applyAlignment="1" applyProtection="1">
      <alignment horizontal="center"/>
    </xf>
    <xf numFmtId="178" fontId="16" fillId="6" borderId="98" xfId="109" applyNumberFormat="1" applyFont="1" applyFill="1" applyBorder="1" applyAlignment="1" applyProtection="1">
      <alignment horizontal="center"/>
    </xf>
    <xf numFmtId="178" fontId="16" fillId="6" borderId="104" xfId="109" applyNumberFormat="1" applyFont="1" applyFill="1" applyBorder="1" applyAlignment="1" applyProtection="1">
      <alignment horizontal="center"/>
    </xf>
    <xf numFmtId="0" fontId="12" fillId="6" borderId="0" xfId="0" applyFont="1" applyFill="1" applyBorder="1" applyAlignment="1" applyProtection="1">
      <alignment horizontal="left" indent="2"/>
    </xf>
    <xf numFmtId="178" fontId="16" fillId="6" borderId="0" xfId="109" applyNumberFormat="1" applyFont="1" applyFill="1" applyBorder="1" applyAlignment="1" applyProtection="1">
      <alignment horizontal="center"/>
    </xf>
    <xf numFmtId="0" fontId="31" fillId="6" borderId="0" xfId="0" applyFont="1" applyFill="1" applyProtection="1"/>
    <xf numFmtId="0" fontId="31" fillId="6" borderId="0" xfId="0" applyFont="1" applyFill="1" applyAlignment="1" applyProtection="1">
      <alignment horizontal="center"/>
    </xf>
    <xf numFmtId="0" fontId="31" fillId="6" borderId="0" xfId="0" applyFont="1" applyFill="1" applyAlignment="1" applyProtection="1">
      <alignment horizontal="justify"/>
    </xf>
    <xf numFmtId="0" fontId="11" fillId="6" borderId="0" xfId="0" applyFont="1" applyFill="1" applyProtection="1"/>
    <xf numFmtId="9" fontId="15" fillId="6" borderId="0" xfId="0" applyNumberFormat="1" applyFont="1" applyFill="1" applyProtection="1"/>
    <xf numFmtId="0" fontId="80" fillId="30" borderId="137" xfId="0" applyFont="1" applyFill="1" applyBorder="1" applyAlignment="1" applyProtection="1">
      <alignment horizontal="center"/>
    </xf>
    <xf numFmtId="0" fontId="80" fillId="30" borderId="138" xfId="0" applyFont="1" applyFill="1" applyBorder="1" applyAlignment="1" applyProtection="1">
      <alignment horizontal="center"/>
    </xf>
    <xf numFmtId="0" fontId="31" fillId="6" borderId="98" xfId="0" applyFont="1" applyFill="1" applyBorder="1" applyAlignment="1" applyProtection="1">
      <alignment horizontal="center"/>
    </xf>
    <xf numFmtId="178" fontId="31" fillId="29" borderId="98" xfId="109" applyNumberFormat="1" applyFont="1" applyFill="1" applyBorder="1" applyAlignment="1" applyProtection="1">
      <alignment horizontal="center"/>
    </xf>
    <xf numFmtId="178" fontId="31" fillId="6" borderId="98" xfId="0" applyNumberFormat="1" applyFont="1" applyFill="1" applyBorder="1" applyAlignment="1" applyProtection="1">
      <alignment horizontal="center"/>
    </xf>
    <xf numFmtId="0" fontId="31" fillId="6" borderId="104" xfId="0" applyFont="1" applyFill="1" applyBorder="1" applyAlignment="1" applyProtection="1">
      <alignment horizontal="center"/>
    </xf>
    <xf numFmtId="0" fontId="31" fillId="6" borderId="105" xfId="0" applyFont="1" applyFill="1" applyBorder="1" applyAlignment="1" applyProtection="1">
      <alignment horizontal="left" indent="1"/>
    </xf>
    <xf numFmtId="0" fontId="31" fillId="6" borderId="106" xfId="0" applyFont="1" applyFill="1" applyBorder="1" applyAlignment="1" applyProtection="1">
      <alignment horizontal="left" indent="1"/>
    </xf>
    <xf numFmtId="178" fontId="31" fillId="6" borderId="98" xfId="109" applyNumberFormat="1" applyFont="1" applyFill="1" applyBorder="1" applyAlignment="1" applyProtection="1">
      <alignment horizontal="center"/>
    </xf>
    <xf numFmtId="2" fontId="31" fillId="6" borderId="0" xfId="0" applyNumberFormat="1" applyFont="1" applyFill="1" applyAlignment="1" applyProtection="1">
      <alignment horizontal="center"/>
    </xf>
    <xf numFmtId="0" fontId="31" fillId="6" borderId="16" xfId="0" applyFont="1" applyFill="1" applyBorder="1" applyProtection="1"/>
    <xf numFmtId="0" fontId="31" fillId="6" borderId="26" xfId="0" applyFont="1" applyFill="1" applyBorder="1" applyAlignment="1" applyProtection="1">
      <alignment horizontal="center" vertical="top"/>
    </xf>
    <xf numFmtId="178" fontId="54" fillId="6" borderId="97" xfId="109" applyNumberFormat="1" applyFont="1" applyFill="1" applyBorder="1" applyAlignment="1" applyProtection="1">
      <alignment horizontal="center"/>
    </xf>
    <xf numFmtId="0" fontId="81" fillId="6" borderId="0" xfId="0" applyFont="1" applyFill="1" applyProtection="1"/>
    <xf numFmtId="0" fontId="31" fillId="6" borderId="0" xfId="0" applyFont="1" applyFill="1" applyBorder="1" applyProtection="1"/>
    <xf numFmtId="0" fontId="31" fillId="6" borderId="0" xfId="0" applyFont="1" applyFill="1" applyBorder="1" applyAlignment="1" applyProtection="1">
      <alignment horizontal="center"/>
    </xf>
    <xf numFmtId="2" fontId="69" fillId="6" borderId="0" xfId="0" applyNumberFormat="1" applyFont="1" applyFill="1" applyBorder="1" applyProtection="1"/>
    <xf numFmtId="4" fontId="11" fillId="0" borderId="150" xfId="1" applyNumberFormat="1" applyFont="1" applyFill="1" applyBorder="1" applyAlignment="1" applyProtection="1">
      <alignment horizontal="center" vertical="center"/>
    </xf>
    <xf numFmtId="0" fontId="0" fillId="0" borderId="149" xfId="2" applyNumberFormat="1" applyFont="1" applyBorder="1" applyAlignment="1">
      <alignment horizontal="center" vertical="center"/>
    </xf>
    <xf numFmtId="2" fontId="11" fillId="0" borderId="0" xfId="2" applyNumberFormat="1" applyFont="1"/>
    <xf numFmtId="0" fontId="0" fillId="0" borderId="0" xfId="2" applyFont="1"/>
    <xf numFmtId="4" fontId="11" fillId="0" borderId="0" xfId="2" applyNumberFormat="1" applyFont="1" applyAlignment="1">
      <alignment vertical="center"/>
    </xf>
    <xf numFmtId="0" fontId="0" fillId="4" borderId="10" xfId="0" applyNumberFormat="1" applyFill="1" applyBorder="1" applyAlignment="1">
      <alignment horizontal="center" vertical="center"/>
    </xf>
    <xf numFmtId="4" fontId="11" fillId="4" borderId="10" xfId="0" applyNumberFormat="1" applyFont="1" applyFill="1" applyBorder="1" applyAlignment="1">
      <alignment horizontal="center"/>
    </xf>
    <xf numFmtId="4" fontId="11" fillId="0" borderId="10" xfId="0" applyNumberFormat="1" applyFont="1" applyBorder="1" applyAlignment="1">
      <alignment horizontal="center"/>
    </xf>
    <xf numFmtId="0" fontId="11" fillId="0" borderId="22" xfId="2" applyNumberFormat="1" applyFont="1" applyFill="1" applyBorder="1" applyAlignment="1">
      <alignment horizontal="left" vertical="center"/>
    </xf>
    <xf numFmtId="0" fontId="0" fillId="0" borderId="0" xfId="0"/>
    <xf numFmtId="0" fontId="11" fillId="0" borderId="0" xfId="2"/>
    <xf numFmtId="0" fontId="57" fillId="0" borderId="0" xfId="2" applyFont="1"/>
    <xf numFmtId="0" fontId="0" fillId="0" borderId="27" xfId="0" applyBorder="1" applyAlignment="1">
      <alignment horizontal="left"/>
    </xf>
    <xf numFmtId="4" fontId="11" fillId="0" borderId="148" xfId="1" applyNumberFormat="1" applyFont="1" applyFill="1" applyBorder="1" applyAlignment="1" applyProtection="1">
      <alignment horizontal="right" vertical="center"/>
    </xf>
    <xf numFmtId="4" fontId="11" fillId="0" borderId="10" xfId="1" applyNumberFormat="1" applyFont="1" applyFill="1" applyBorder="1" applyAlignment="1" applyProtection="1">
      <alignment horizontal="center" vertical="center"/>
    </xf>
    <xf numFmtId="4" fontId="0" fillId="0" borderId="22" xfId="2" applyNumberFormat="1" applyFont="1" applyBorder="1" applyAlignment="1">
      <alignment horizontal="center" vertical="center"/>
    </xf>
    <xf numFmtId="0" fontId="0" fillId="0" borderId="10" xfId="2" applyNumberFormat="1" applyFont="1" applyBorder="1" applyAlignment="1">
      <alignment horizontal="center" vertical="center"/>
    </xf>
    <xf numFmtId="0" fontId="12" fillId="0" borderId="118" xfId="2" applyNumberFormat="1" applyFont="1" applyBorder="1" applyAlignment="1">
      <alignment horizontal="left" vertical="center"/>
    </xf>
    <xf numFmtId="2" fontId="12" fillId="0" borderId="118" xfId="2" applyNumberFormat="1" applyFont="1" applyBorder="1" applyAlignment="1">
      <alignment horizontal="center" vertical="center"/>
    </xf>
    <xf numFmtId="0" fontId="11" fillId="0" borderId="10" xfId="2" applyNumberFormat="1" applyFont="1" applyBorder="1" applyAlignment="1">
      <alignment horizontal="center" vertical="center"/>
    </xf>
    <xf numFmtId="0" fontId="0" fillId="6" borderId="10" xfId="2" applyNumberFormat="1" applyFont="1" applyFill="1" applyBorder="1" applyAlignment="1">
      <alignment horizontal="center" vertical="center"/>
    </xf>
    <xf numFmtId="4" fontId="0" fillId="0" borderId="118" xfId="2" applyNumberFormat="1" applyFont="1" applyBorder="1" applyAlignment="1">
      <alignment horizontal="center" vertical="center"/>
    </xf>
    <xf numFmtId="4" fontId="11" fillId="0" borderId="148" xfId="1" applyNumberFormat="1" applyFont="1" applyFill="1" applyBorder="1" applyAlignment="1" applyProtection="1">
      <alignment horizontal="center" vertical="center"/>
    </xf>
    <xf numFmtId="0" fontId="0" fillId="0" borderId="22" xfId="2" applyNumberFormat="1" applyFont="1" applyBorder="1" applyAlignment="1">
      <alignment horizontal="center" vertical="center"/>
    </xf>
    <xf numFmtId="0" fontId="0" fillId="0" borderId="10"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11" fillId="0" borderId="0" xfId="2" applyFont="1"/>
    <xf numFmtId="0" fontId="11" fillId="0" borderId="20" xfId="2" applyNumberFormat="1" applyFont="1" applyBorder="1" applyAlignment="1">
      <alignment horizontal="left" vertical="center"/>
    </xf>
    <xf numFmtId="0" fontId="0" fillId="0" borderId="22" xfId="0" applyNumberFormat="1" applyBorder="1" applyAlignment="1">
      <alignment horizontal="left" vertical="center"/>
    </xf>
    <xf numFmtId="0" fontId="11" fillId="4" borderId="10" xfId="2" applyNumberFormat="1" applyFont="1" applyFill="1" applyBorder="1" applyAlignment="1">
      <alignment horizontal="center" vertical="center"/>
    </xf>
    <xf numFmtId="0" fontId="11" fillId="4" borderId="20" xfId="2" applyNumberFormat="1" applyFont="1" applyFill="1" applyBorder="1" applyAlignment="1">
      <alignment horizontal="left" vertical="center"/>
    </xf>
    <xf numFmtId="2" fontId="14" fillId="4" borderId="118" xfId="1" applyNumberFormat="1" applyFont="1" applyFill="1" applyBorder="1" applyAlignment="1">
      <alignment horizontal="center" vertical="center"/>
    </xf>
    <xf numFmtId="0" fontId="14" fillId="4" borderId="118" xfId="2" applyNumberFormat="1" applyFont="1" applyFill="1" applyBorder="1" applyAlignment="1">
      <alignment horizontal="left" vertical="center"/>
    </xf>
    <xf numFmtId="0" fontId="11" fillId="4" borderId="22" xfId="2" applyNumberFormat="1" applyFont="1" applyFill="1" applyBorder="1" applyAlignment="1">
      <alignment horizontal="left" vertical="center"/>
    </xf>
    <xf numFmtId="0" fontId="0" fillId="0" borderId="46" xfId="2" applyNumberFormat="1" applyFont="1" applyBorder="1" applyAlignment="1">
      <alignment horizontal="center" vertical="center"/>
    </xf>
    <xf numFmtId="0" fontId="11" fillId="0" borderId="22" xfId="2" applyNumberFormat="1" applyFont="1" applyBorder="1" applyAlignment="1">
      <alignment horizontal="left" vertical="center"/>
    </xf>
    <xf numFmtId="4" fontId="11" fillId="4" borderId="10" xfId="1" applyNumberFormat="1" applyFont="1" applyFill="1" applyBorder="1" applyAlignment="1" applyProtection="1">
      <alignment horizontal="center" vertical="center"/>
    </xf>
    <xf numFmtId="2" fontId="11" fillId="4" borderId="118" xfId="2" applyNumberFormat="1" applyFont="1" applyFill="1" applyBorder="1" applyAlignment="1">
      <alignment horizontal="center" vertical="center"/>
    </xf>
    <xf numFmtId="0" fontId="11" fillId="4" borderId="118" xfId="2" applyNumberFormat="1" applyFont="1" applyFill="1" applyBorder="1" applyAlignment="1">
      <alignment horizontal="left" vertical="center"/>
    </xf>
    <xf numFmtId="4" fontId="11" fillId="4" borderId="112" xfId="2" applyNumberFormat="1" applyFont="1" applyFill="1" applyBorder="1" applyAlignment="1">
      <alignment horizontal="center" vertical="center"/>
    </xf>
    <xf numFmtId="0" fontId="11" fillId="4" borderId="46" xfId="2" applyNumberFormat="1" applyFont="1" applyFill="1" applyBorder="1" applyAlignment="1">
      <alignment horizontal="center" vertical="center"/>
    </xf>
    <xf numFmtId="4" fontId="11" fillId="4" borderId="107" xfId="1" applyNumberFormat="1" applyFont="1" applyFill="1" applyBorder="1" applyAlignment="1" applyProtection="1">
      <alignment horizontal="center" vertical="center"/>
    </xf>
    <xf numFmtId="4" fontId="11" fillId="4" borderId="148" xfId="1" applyNumberFormat="1" applyFont="1" applyFill="1" applyBorder="1" applyAlignment="1" applyProtection="1">
      <alignment horizontal="center" vertical="center"/>
    </xf>
    <xf numFmtId="0" fontId="11" fillId="4" borderId="107" xfId="2" applyNumberFormat="1" applyFont="1" applyFill="1" applyBorder="1" applyAlignment="1">
      <alignment horizontal="center" vertical="center"/>
    </xf>
    <xf numFmtId="0" fontId="11" fillId="4" borderId="32" xfId="2" applyNumberFormat="1" applyFont="1" applyFill="1" applyBorder="1" applyAlignment="1">
      <alignment horizontal="left" vertical="center"/>
    </xf>
    <xf numFmtId="2" fontId="14" fillId="4" borderId="0" xfId="1" applyNumberFormat="1" applyFont="1" applyFill="1" applyBorder="1" applyAlignment="1">
      <alignment horizontal="center" vertical="center"/>
    </xf>
    <xf numFmtId="0" fontId="14" fillId="4" borderId="0" xfId="2" applyNumberFormat="1" applyFont="1" applyFill="1" applyBorder="1" applyAlignment="1">
      <alignment horizontal="left" vertical="center"/>
    </xf>
    <xf numFmtId="0" fontId="11" fillId="4" borderId="33" xfId="2" applyNumberFormat="1" applyFont="1" applyFill="1" applyBorder="1" applyAlignment="1">
      <alignment horizontal="left" vertical="center"/>
    </xf>
    <xf numFmtId="4" fontId="11" fillId="0" borderId="10" xfId="1" applyNumberFormat="1" applyFont="1" applyFill="1" applyBorder="1" applyAlignment="1" applyProtection="1">
      <alignment horizontal="right" vertical="center"/>
    </xf>
    <xf numFmtId="0" fontId="11" fillId="4" borderId="113" xfId="2" applyNumberFormat="1" applyFont="1" applyFill="1" applyBorder="1" applyAlignment="1">
      <alignment horizontal="left" vertical="center"/>
    </xf>
    <xf numFmtId="0" fontId="11" fillId="4" borderId="112" xfId="2" applyNumberFormat="1" applyFont="1" applyFill="1" applyBorder="1" applyAlignment="1">
      <alignment horizontal="left" vertical="center"/>
    </xf>
    <xf numFmtId="0" fontId="11" fillId="4" borderId="108" xfId="2" applyNumberFormat="1" applyFont="1" applyFill="1" applyBorder="1" applyAlignment="1">
      <alignment horizontal="center" vertical="center"/>
    </xf>
    <xf numFmtId="0" fontId="11" fillId="4" borderId="113" xfId="2" applyNumberFormat="1" applyFont="1" applyFill="1" applyBorder="1" applyAlignment="1">
      <alignment horizontal="left" vertical="center" wrapText="1"/>
    </xf>
    <xf numFmtId="2" fontId="14" fillId="4" borderId="118" xfId="1" applyNumberFormat="1" applyFont="1" applyFill="1" applyBorder="1" applyAlignment="1">
      <alignment horizontal="center" vertical="center" wrapText="1"/>
    </xf>
    <xf numFmtId="0" fontId="11" fillId="4" borderId="118" xfId="2" applyNumberFormat="1" applyFont="1" applyFill="1" applyBorder="1" applyAlignment="1">
      <alignment horizontal="left" vertical="center" wrapText="1"/>
    </xf>
    <xf numFmtId="0" fontId="11" fillId="4" borderId="112" xfId="2" applyNumberFormat="1" applyFont="1" applyFill="1" applyBorder="1" applyAlignment="1">
      <alignment horizontal="left" vertical="center" wrapText="1"/>
    </xf>
    <xf numFmtId="2" fontId="11" fillId="4" borderId="118" xfId="2" applyNumberFormat="1" applyFont="1" applyFill="1" applyBorder="1" applyAlignment="1">
      <alignment horizontal="center" vertical="center" wrapText="1"/>
    </xf>
    <xf numFmtId="4" fontId="11" fillId="4" borderId="33" xfId="2" applyNumberFormat="1" applyFont="1" applyFill="1" applyBorder="1" applyAlignment="1">
      <alignment horizontal="center" vertical="center"/>
    </xf>
    <xf numFmtId="0" fontId="11" fillId="4" borderId="32" xfId="2" applyNumberFormat="1" applyFont="1" applyFill="1" applyBorder="1" applyAlignment="1">
      <alignment horizontal="left" vertical="center" wrapText="1"/>
    </xf>
    <xf numFmtId="2" fontId="11" fillId="4" borderId="0" xfId="2" applyNumberFormat="1" applyFont="1" applyFill="1" applyBorder="1" applyAlignment="1">
      <alignment horizontal="center" vertical="center" wrapText="1"/>
    </xf>
    <xf numFmtId="0" fontId="11" fillId="4" borderId="0" xfId="2" applyNumberFormat="1" applyFont="1" applyFill="1" applyBorder="1" applyAlignment="1">
      <alignment horizontal="left" vertical="center" wrapText="1"/>
    </xf>
    <xf numFmtId="0" fontId="11" fillId="4" borderId="33" xfId="2" applyNumberFormat="1" applyFont="1" applyFill="1" applyBorder="1" applyAlignment="1">
      <alignment horizontal="left" vertical="center" wrapText="1"/>
    </xf>
    <xf numFmtId="0" fontId="11" fillId="4" borderId="31" xfId="2" applyNumberFormat="1" applyFont="1" applyFill="1" applyBorder="1" applyAlignment="1">
      <alignment horizontal="center" vertical="center"/>
    </xf>
    <xf numFmtId="0" fontId="11" fillId="4" borderId="52" xfId="2" applyNumberFormat="1" applyFont="1" applyFill="1" applyBorder="1" applyAlignment="1">
      <alignment horizontal="center" vertical="center"/>
    </xf>
    <xf numFmtId="4" fontId="11" fillId="4" borderId="10" xfId="1" applyNumberFormat="1" applyFont="1" applyFill="1" applyBorder="1" applyAlignment="1">
      <alignment horizontal="center" vertical="center"/>
    </xf>
    <xf numFmtId="0" fontId="12" fillId="4" borderId="22" xfId="2" applyNumberFormat="1" applyFont="1" applyFill="1" applyBorder="1" applyAlignment="1">
      <alignment horizontal="left" vertical="center"/>
    </xf>
    <xf numFmtId="0" fontId="12" fillId="4" borderId="10" xfId="2" applyNumberFormat="1" applyFont="1" applyFill="1" applyBorder="1" applyAlignment="1">
      <alignment horizontal="center" vertical="center"/>
    </xf>
    <xf numFmtId="0" fontId="12" fillId="0" borderId="10" xfId="2" applyNumberFormat="1" applyFont="1" applyFill="1" applyBorder="1" applyAlignment="1">
      <alignment horizontal="center" vertical="center"/>
    </xf>
    <xf numFmtId="0" fontId="11" fillId="0" borderId="20" xfId="2" applyNumberFormat="1" applyFont="1" applyFill="1" applyBorder="1" applyAlignment="1">
      <alignment horizontal="left" vertical="center"/>
    </xf>
    <xf numFmtId="0" fontId="0" fillId="0" borderId="22" xfId="2" applyNumberFormat="1" applyFont="1" applyFill="1" applyBorder="1" applyAlignment="1">
      <alignment horizontal="left" vertical="center"/>
    </xf>
    <xf numFmtId="0" fontId="11" fillId="0" borderId="0" xfId="2" applyFont="1" applyAlignment="1">
      <alignment vertical="center"/>
    </xf>
    <xf numFmtId="0" fontId="67" fillId="0" borderId="0" xfId="2" applyFont="1"/>
    <xf numFmtId="0" fontId="0" fillId="0" borderId="22" xfId="0" applyBorder="1"/>
    <xf numFmtId="0" fontId="83" fillId="32" borderId="26" xfId="124" applyFont="1" applyFill="1" applyBorder="1" applyAlignment="1">
      <alignment vertical="center"/>
    </xf>
    <xf numFmtId="0" fontId="12" fillId="33" borderId="44" xfId="2" applyFont="1" applyFill="1" applyBorder="1" applyAlignment="1">
      <alignment vertical="center"/>
    </xf>
    <xf numFmtId="0" fontId="12" fillId="33" borderId="0" xfId="2" applyFont="1" applyFill="1" applyBorder="1" applyAlignment="1">
      <alignment vertical="center"/>
    </xf>
    <xf numFmtId="4" fontId="12" fillId="33" borderId="0" xfId="2" applyNumberFormat="1" applyFont="1" applyFill="1" applyBorder="1" applyAlignment="1">
      <alignment horizontal="left" vertical="center"/>
    </xf>
    <xf numFmtId="2" fontId="12" fillId="33" borderId="0" xfId="2" applyNumberFormat="1" applyFont="1" applyFill="1" applyBorder="1" applyAlignment="1">
      <alignment horizontal="left" vertical="center"/>
    </xf>
    <xf numFmtId="0" fontId="0" fillId="33" borderId="0" xfId="2" applyFont="1" applyFill="1" applyBorder="1" applyAlignment="1">
      <alignment horizontal="right" vertical="center"/>
    </xf>
    <xf numFmtId="0" fontId="12" fillId="33" borderId="44" xfId="2" applyFont="1" applyFill="1" applyBorder="1" applyAlignment="1">
      <alignment horizontal="left" vertical="center"/>
    </xf>
    <xf numFmtId="0" fontId="12" fillId="33" borderId="0" xfId="2" applyFont="1" applyFill="1" applyBorder="1" applyAlignment="1">
      <alignment horizontal="center" vertical="center"/>
    </xf>
    <xf numFmtId="2" fontId="12" fillId="33" borderId="0" xfId="2" applyNumberFormat="1" applyFont="1" applyFill="1" applyBorder="1" applyAlignment="1">
      <alignment horizontal="center" vertical="center"/>
    </xf>
    <xf numFmtId="0" fontId="16" fillId="33" borderId="0" xfId="2" applyFont="1" applyFill="1" applyBorder="1" applyAlignment="1">
      <alignment horizontal="center" vertical="center"/>
    </xf>
    <xf numFmtId="0" fontId="11" fillId="33" borderId="0" xfId="2" applyFont="1" applyFill="1" applyBorder="1" applyAlignment="1">
      <alignment horizontal="center" vertical="center"/>
    </xf>
    <xf numFmtId="0" fontId="12" fillId="33" borderId="0" xfId="2" applyFont="1" applyFill="1" applyBorder="1" applyAlignment="1">
      <alignment horizontal="left" vertical="center"/>
    </xf>
    <xf numFmtId="49" fontId="12" fillId="33" borderId="12" xfId="2" applyNumberFormat="1" applyFont="1" applyFill="1" applyBorder="1" applyAlignment="1">
      <alignment horizontal="right" vertical="center"/>
    </xf>
    <xf numFmtId="49" fontId="12" fillId="33" borderId="43" xfId="2" applyNumberFormat="1" applyFont="1" applyFill="1" applyBorder="1" applyAlignment="1">
      <alignment horizontal="right" vertical="center"/>
    </xf>
    <xf numFmtId="4" fontId="11" fillId="33" borderId="0" xfId="2" applyNumberFormat="1" applyFont="1" applyFill="1" applyBorder="1" applyAlignment="1">
      <alignment horizontal="center" vertical="center"/>
    </xf>
    <xf numFmtId="10" fontId="12" fillId="33" borderId="43" xfId="2" applyNumberFormat="1" applyFont="1" applyFill="1" applyBorder="1" applyAlignment="1">
      <alignment vertical="center"/>
    </xf>
    <xf numFmtId="0" fontId="12" fillId="33" borderId="25" xfId="2" applyFont="1" applyFill="1" applyBorder="1" applyAlignment="1">
      <alignment vertical="center"/>
    </xf>
    <xf numFmtId="165" fontId="12" fillId="33" borderId="17" xfId="3" applyFont="1" applyFill="1" applyBorder="1" applyAlignment="1" applyProtection="1">
      <alignment horizontal="center" vertical="center"/>
    </xf>
    <xf numFmtId="166" fontId="12" fillId="33" borderId="39" xfId="3" applyNumberFormat="1" applyFont="1" applyFill="1" applyBorder="1" applyAlignment="1" applyProtection="1">
      <alignment horizontal="center" vertical="center"/>
    </xf>
    <xf numFmtId="0" fontId="65" fillId="33" borderId="27" xfId="0" applyFont="1" applyFill="1" applyBorder="1" applyAlignment="1">
      <alignment horizontal="left" vertical="center"/>
    </xf>
    <xf numFmtId="0" fontId="12" fillId="25" borderId="156" xfId="2" applyNumberFormat="1" applyFont="1" applyFill="1" applyBorder="1" applyAlignment="1">
      <alignment horizontal="center" vertical="center"/>
    </xf>
    <xf numFmtId="0" fontId="12" fillId="25" borderId="157" xfId="2" applyNumberFormat="1" applyFont="1" applyFill="1" applyBorder="1" applyAlignment="1">
      <alignment horizontal="center" vertical="center"/>
    </xf>
    <xf numFmtId="0" fontId="12" fillId="25" borderId="157" xfId="2" applyNumberFormat="1" applyFont="1" applyFill="1" applyBorder="1" applyAlignment="1">
      <alignment horizontal="left" vertical="center"/>
    </xf>
    <xf numFmtId="0" fontId="0" fillId="25" borderId="157" xfId="2" applyNumberFormat="1" applyFont="1" applyFill="1" applyBorder="1" applyAlignment="1">
      <alignment horizontal="left" vertical="center"/>
    </xf>
    <xf numFmtId="0" fontId="0" fillId="25" borderId="157" xfId="2" applyNumberFormat="1" applyFont="1" applyFill="1" applyBorder="1" applyAlignment="1">
      <alignment horizontal="right" vertical="center"/>
    </xf>
    <xf numFmtId="0" fontId="12" fillId="25" borderId="157" xfId="2" applyNumberFormat="1" applyFont="1" applyFill="1" applyBorder="1" applyAlignment="1">
      <alignment horizontal="right" vertical="center"/>
    </xf>
    <xf numFmtId="0" fontId="12" fillId="25" borderId="151" xfId="2" applyNumberFormat="1" applyFont="1" applyFill="1" applyBorder="1" applyAlignment="1">
      <alignment horizontal="right" vertical="center"/>
    </xf>
    <xf numFmtId="0" fontId="0" fillId="0" borderId="158" xfId="2" applyNumberFormat="1" applyFont="1" applyFill="1" applyBorder="1" applyAlignment="1">
      <alignment horizontal="center" vertical="center"/>
    </xf>
    <xf numFmtId="0" fontId="0" fillId="0" borderId="159" xfId="2" applyNumberFormat="1" applyFont="1" applyFill="1" applyBorder="1" applyAlignment="1">
      <alignment horizontal="center" vertical="center"/>
    </xf>
    <xf numFmtId="0" fontId="0" fillId="0" borderId="160" xfId="2" applyNumberFormat="1" applyFont="1" applyFill="1" applyBorder="1" applyAlignment="1">
      <alignment horizontal="left" vertical="center"/>
    </xf>
    <xf numFmtId="0" fontId="0" fillId="0" borderId="13" xfId="2" applyNumberFormat="1" applyFont="1" applyFill="1" applyBorder="1" applyAlignment="1">
      <alignment horizontal="center" vertical="center"/>
    </xf>
    <xf numFmtId="0" fontId="0" fillId="0" borderId="47" xfId="2" applyNumberFormat="1" applyFont="1" applyFill="1" applyBorder="1" applyAlignment="1">
      <alignment horizontal="left" vertical="center"/>
    </xf>
    <xf numFmtId="0" fontId="0" fillId="0" borderId="161" xfId="2" applyNumberFormat="1" applyFont="1" applyFill="1" applyBorder="1" applyAlignment="1">
      <alignment horizontal="center" vertical="center"/>
    </xf>
    <xf numFmtId="4" fontId="0" fillId="0" borderId="161" xfId="119" applyNumberFormat="1" applyFont="1" applyFill="1" applyBorder="1" applyAlignment="1" applyProtection="1">
      <alignment horizontal="right" vertical="center"/>
    </xf>
    <xf numFmtId="175" fontId="11" fillId="0" borderId="159" xfId="119" applyBorder="1" applyAlignment="1">
      <alignment vertical="center"/>
    </xf>
    <xf numFmtId="4" fontId="0" fillId="0" borderId="162" xfId="2" applyNumberFormat="1" applyFont="1" applyFill="1" applyBorder="1" applyAlignment="1">
      <alignment horizontal="right" vertical="center"/>
    </xf>
    <xf numFmtId="0" fontId="0" fillId="0" borderId="75" xfId="2" applyNumberFormat="1" applyFont="1" applyFill="1" applyBorder="1" applyAlignment="1">
      <alignment horizontal="center" vertical="center"/>
    </xf>
    <xf numFmtId="0" fontId="0" fillId="0" borderId="77" xfId="2" applyNumberFormat="1" applyFont="1" applyFill="1" applyBorder="1" applyAlignment="1">
      <alignment horizontal="center" vertical="center"/>
    </xf>
    <xf numFmtId="0" fontId="0" fillId="0" borderId="78" xfId="2" applyNumberFormat="1" applyFont="1" applyFill="1" applyBorder="1" applyAlignment="1">
      <alignment horizontal="left" vertical="center"/>
    </xf>
    <xf numFmtId="4" fontId="0" fillId="0" borderId="74" xfId="119" applyNumberFormat="1" applyFont="1" applyFill="1" applyBorder="1" applyAlignment="1" applyProtection="1">
      <alignment horizontal="right" vertical="center"/>
    </xf>
    <xf numFmtId="175" fontId="11" fillId="0" borderId="75" xfId="119" applyBorder="1" applyAlignment="1">
      <alignment vertical="center"/>
    </xf>
    <xf numFmtId="4" fontId="0" fillId="0" borderId="131" xfId="2" applyNumberFormat="1" applyFont="1" applyFill="1" applyBorder="1" applyAlignment="1">
      <alignment horizontal="right" vertical="center"/>
    </xf>
    <xf numFmtId="175" fontId="11" fillId="0" borderId="75" xfId="119" applyBorder="1"/>
    <xf numFmtId="0" fontId="0" fillId="0" borderId="163" xfId="2" applyNumberFormat="1" applyFont="1" applyFill="1" applyBorder="1" applyAlignment="1">
      <alignment horizontal="center" vertical="center"/>
    </xf>
    <xf numFmtId="0" fontId="0" fillId="0" borderId="153" xfId="2" applyNumberFormat="1" applyFont="1" applyBorder="1" applyAlignment="1">
      <alignment horizontal="center" vertical="center"/>
    </xf>
    <xf numFmtId="0" fontId="0" fillId="0" borderId="164" xfId="2" applyNumberFormat="1" applyFont="1" applyBorder="1" applyAlignment="1">
      <alignment horizontal="left" vertical="center" wrapText="1"/>
    </xf>
    <xf numFmtId="0" fontId="0" fillId="0" borderId="135" xfId="2" applyNumberFormat="1" applyFont="1" applyBorder="1" applyAlignment="1">
      <alignment horizontal="left" vertical="center" wrapText="1"/>
    </xf>
    <xf numFmtId="0" fontId="0" fillId="0" borderId="135" xfId="2" applyNumberFormat="1" applyFont="1" applyBorder="1" applyAlignment="1">
      <alignment horizontal="center" vertical="center" wrapText="1"/>
    </xf>
    <xf numFmtId="0" fontId="0" fillId="0" borderId="165" xfId="2" applyNumberFormat="1" applyFont="1" applyBorder="1" applyAlignment="1">
      <alignment horizontal="left" vertical="center" wrapText="1"/>
    </xf>
    <xf numFmtId="0" fontId="0" fillId="0" borderId="153" xfId="2" applyNumberFormat="1" applyFont="1" applyFill="1" applyBorder="1" applyAlignment="1">
      <alignment horizontal="center" vertical="center"/>
    </xf>
    <xf numFmtId="4" fontId="0" fillId="0" borderId="153" xfId="119" applyNumberFormat="1" applyFont="1" applyFill="1" applyBorder="1" applyAlignment="1" applyProtection="1">
      <alignment horizontal="right" vertical="center"/>
    </xf>
    <xf numFmtId="175" fontId="11" fillId="0" borderId="153" xfId="119" applyBorder="1"/>
    <xf numFmtId="4" fontId="0" fillId="0" borderId="166" xfId="2" applyNumberFormat="1" applyFont="1" applyFill="1" applyBorder="1" applyAlignment="1">
      <alignment horizontal="right" vertical="center"/>
    </xf>
    <xf numFmtId="0" fontId="0" fillId="0" borderId="13" xfId="0" applyBorder="1"/>
    <xf numFmtId="0" fontId="0" fillId="0" borderId="13" xfId="0" applyBorder="1" applyAlignment="1">
      <alignment horizontal="right"/>
    </xf>
    <xf numFmtId="0" fontId="0" fillId="0" borderId="12" xfId="0" applyBorder="1" applyAlignment="1">
      <alignment horizontal="right"/>
    </xf>
    <xf numFmtId="0" fontId="14" fillId="4" borderId="44" xfId="0" applyFont="1" applyFill="1" applyBorder="1"/>
    <xf numFmtId="49" fontId="14" fillId="4" borderId="27" xfId="0" applyNumberFormat="1" applyFont="1" applyFill="1" applyBorder="1" applyAlignment="1">
      <alignment horizontal="left"/>
    </xf>
    <xf numFmtId="0" fontId="0" fillId="0" borderId="26" xfId="0" applyBorder="1" applyAlignment="1">
      <alignment horizontal="right"/>
    </xf>
    <xf numFmtId="0" fontId="0" fillId="0" borderId="118" xfId="0" applyBorder="1"/>
    <xf numFmtId="0" fontId="12" fillId="0" borderId="118" xfId="2" applyNumberFormat="1" applyFont="1" applyBorder="1" applyAlignment="1">
      <alignment horizontal="center" vertical="center"/>
    </xf>
    <xf numFmtId="4" fontId="11" fillId="0" borderId="118" xfId="2" applyNumberFormat="1" applyFont="1" applyBorder="1" applyAlignment="1">
      <alignment horizontal="center" vertical="center"/>
    </xf>
    <xf numFmtId="0" fontId="0" fillId="6" borderId="24" xfId="2" applyNumberFormat="1" applyFont="1" applyFill="1" applyBorder="1" applyAlignment="1">
      <alignment horizontal="center" vertical="center"/>
    </xf>
    <xf numFmtId="0" fontId="0" fillId="0" borderId="24" xfId="2" applyNumberFormat="1" applyFont="1" applyBorder="1" applyAlignment="1">
      <alignment horizontal="center" vertical="center"/>
    </xf>
    <xf numFmtId="0" fontId="0" fillId="0" borderId="167" xfId="0" applyBorder="1"/>
    <xf numFmtId="0" fontId="12" fillId="0" borderId="26" xfId="2" applyNumberFormat="1" applyFont="1" applyBorder="1" applyAlignment="1">
      <alignment horizontal="left" vertical="center"/>
    </xf>
    <xf numFmtId="2" fontId="12" fillId="0" borderId="26" xfId="2" applyNumberFormat="1" applyFont="1" applyBorder="1" applyAlignment="1">
      <alignment horizontal="center" vertical="center"/>
    </xf>
    <xf numFmtId="4" fontId="0" fillId="0" borderId="27" xfId="2" applyNumberFormat="1" applyFont="1" applyBorder="1" applyAlignment="1">
      <alignment horizontal="center" vertical="center"/>
    </xf>
    <xf numFmtId="4" fontId="11" fillId="0" borderId="24" xfId="1" applyNumberFormat="1" applyFont="1" applyFill="1" applyBorder="1" applyAlignment="1" applyProtection="1">
      <alignment horizontal="center" vertical="center"/>
    </xf>
    <xf numFmtId="4" fontId="0" fillId="0" borderId="24" xfId="1" applyNumberFormat="1" applyFont="1" applyFill="1" applyBorder="1" applyAlignment="1" applyProtection="1">
      <alignment horizontal="center" vertical="center"/>
    </xf>
    <xf numFmtId="4" fontId="11" fillId="0" borderId="24" xfId="1" applyNumberFormat="1" applyFont="1" applyFill="1" applyBorder="1" applyAlignment="1" applyProtection="1">
      <alignment horizontal="right" vertical="center"/>
    </xf>
    <xf numFmtId="9" fontId="11" fillId="0" borderId="0" xfId="127" applyFont="1"/>
    <xf numFmtId="0" fontId="0" fillId="0" borderId="118" xfId="0" applyFill="1" applyBorder="1"/>
    <xf numFmtId="0" fontId="0" fillId="0" borderId="168" xfId="2" applyNumberFormat="1" applyFont="1" applyFill="1" applyBorder="1" applyAlignment="1">
      <alignment horizontal="center" vertical="center"/>
    </xf>
    <xf numFmtId="0" fontId="0" fillId="0" borderId="169" xfId="2" applyNumberFormat="1" applyFont="1" applyFill="1" applyBorder="1" applyAlignment="1">
      <alignment horizontal="left" vertical="center"/>
    </xf>
    <xf numFmtId="0" fontId="0" fillId="0" borderId="170" xfId="2" applyNumberFormat="1" applyFont="1" applyFill="1" applyBorder="1" applyAlignment="1">
      <alignment horizontal="left" vertical="center"/>
    </xf>
    <xf numFmtId="0" fontId="0" fillId="0" borderId="170" xfId="2" applyNumberFormat="1" applyFont="1" applyFill="1" applyBorder="1" applyAlignment="1">
      <alignment horizontal="center" vertical="center"/>
    </xf>
    <xf numFmtId="0" fontId="0" fillId="0" borderId="171" xfId="2" applyNumberFormat="1" applyFont="1" applyFill="1" applyBorder="1" applyAlignment="1">
      <alignment horizontal="left" vertical="center"/>
    </xf>
    <xf numFmtId="4" fontId="0" fillId="0" borderId="172" xfId="119" applyNumberFormat="1" applyFont="1" applyFill="1" applyBorder="1" applyAlignment="1" applyProtection="1">
      <alignment horizontal="right" vertical="center"/>
    </xf>
    <xf numFmtId="0" fontId="0" fillId="0" borderId="172" xfId="2" applyNumberFormat="1" applyFont="1" applyFill="1" applyBorder="1" applyAlignment="1">
      <alignment horizontal="center" vertical="center"/>
    </xf>
    <xf numFmtId="175" fontId="11" fillId="4" borderId="172" xfId="119" applyFill="1" applyBorder="1"/>
    <xf numFmtId="2" fontId="0" fillId="0" borderId="173" xfId="2" applyNumberFormat="1" applyFont="1" applyFill="1" applyBorder="1" applyAlignment="1">
      <alignment horizontal="right" vertical="center"/>
    </xf>
    <xf numFmtId="0" fontId="0" fillId="0" borderId="108" xfId="2" applyNumberFormat="1" applyFont="1" applyFill="1" applyBorder="1" applyAlignment="1">
      <alignment horizontal="center" vertical="center"/>
    </xf>
    <xf numFmtId="0" fontId="0" fillId="0" borderId="112" xfId="2" applyNumberFormat="1" applyFont="1" applyFill="1" applyBorder="1" applyAlignment="1">
      <alignment horizontal="left" vertical="center"/>
    </xf>
    <xf numFmtId="0" fontId="0" fillId="0" borderId="118" xfId="2" applyNumberFormat="1" applyFont="1" applyFill="1" applyBorder="1" applyAlignment="1">
      <alignment horizontal="left" vertical="center"/>
    </xf>
    <xf numFmtId="0" fontId="0" fillId="0" borderId="118" xfId="2" applyNumberFormat="1" applyFont="1" applyFill="1" applyBorder="1" applyAlignment="1">
      <alignment horizontal="center" vertical="center"/>
    </xf>
    <xf numFmtId="0" fontId="0" fillId="0" borderId="113" xfId="2" applyNumberFormat="1" applyFont="1" applyFill="1" applyBorder="1" applyAlignment="1">
      <alignment horizontal="left" vertical="center"/>
    </xf>
    <xf numFmtId="4" fontId="0" fillId="0" borderId="46" xfId="119" applyNumberFormat="1" applyFont="1" applyFill="1" applyBorder="1" applyAlignment="1" applyProtection="1">
      <alignment horizontal="right" vertical="center"/>
    </xf>
    <xf numFmtId="0" fontId="0" fillId="0" borderId="46" xfId="2" applyNumberFormat="1" applyFont="1" applyFill="1" applyBorder="1" applyAlignment="1">
      <alignment horizontal="center" vertical="center"/>
    </xf>
    <xf numFmtId="175" fontId="11" fillId="4" borderId="46" xfId="119" applyFill="1" applyBorder="1"/>
    <xf numFmtId="2" fontId="0" fillId="0" borderId="174" xfId="2" applyNumberFormat="1" applyFont="1" applyFill="1" applyBorder="1" applyAlignment="1">
      <alignment horizontal="right" vertical="center"/>
    </xf>
    <xf numFmtId="0" fontId="0" fillId="0" borderId="145" xfId="2" applyNumberFormat="1" applyFont="1" applyFill="1" applyBorder="1" applyAlignment="1">
      <alignment horizontal="center" vertical="center"/>
    </xf>
    <xf numFmtId="0" fontId="0" fillId="0" borderId="175" xfId="2" applyNumberFormat="1" applyFont="1" applyFill="1" applyBorder="1" applyAlignment="1">
      <alignment horizontal="left" vertical="center"/>
    </xf>
    <xf numFmtId="0" fontId="0" fillId="0" borderId="0" xfId="2" applyNumberFormat="1" applyFont="1" applyFill="1" applyBorder="1" applyAlignment="1">
      <alignment horizontal="left" vertical="center"/>
    </xf>
    <xf numFmtId="0" fontId="0" fillId="0" borderId="0" xfId="2" applyNumberFormat="1" applyFont="1" applyFill="1" applyBorder="1" applyAlignment="1">
      <alignment horizontal="center" vertical="center"/>
    </xf>
    <xf numFmtId="0" fontId="0" fillId="0" borderId="32" xfId="2" applyNumberFormat="1" applyFont="1" applyFill="1" applyBorder="1" applyAlignment="1">
      <alignment horizontal="left" vertical="center"/>
    </xf>
    <xf numFmtId="4" fontId="0" fillId="0" borderId="31" xfId="119" applyNumberFormat="1" applyFont="1" applyFill="1" applyBorder="1" applyAlignment="1" applyProtection="1">
      <alignment horizontal="right" vertical="center"/>
    </xf>
    <xf numFmtId="0" fontId="0" fillId="0" borderId="31" xfId="2" applyNumberFormat="1" applyFont="1" applyFill="1" applyBorder="1" applyAlignment="1">
      <alignment horizontal="center" vertical="center"/>
    </xf>
    <xf numFmtId="0" fontId="0" fillId="0" borderId="45" xfId="2" applyNumberFormat="1" applyFont="1" applyFill="1" applyBorder="1" applyAlignment="1">
      <alignment horizontal="center" vertical="center"/>
    </xf>
    <xf numFmtId="175" fontId="11" fillId="4" borderId="45" xfId="119" applyFill="1" applyBorder="1"/>
    <xf numFmtId="2" fontId="0" fillId="0" borderId="152" xfId="2" applyNumberFormat="1" applyFont="1" applyFill="1" applyBorder="1" applyAlignment="1">
      <alignment horizontal="right" vertical="center"/>
    </xf>
    <xf numFmtId="0" fontId="12" fillId="4" borderId="71" xfId="2" applyNumberFormat="1" applyFont="1" applyFill="1" applyBorder="1" applyAlignment="1">
      <alignment horizontal="right" vertical="center"/>
    </xf>
    <xf numFmtId="0" fontId="0" fillId="0" borderId="32" xfId="2" applyNumberFormat="1" applyFont="1" applyBorder="1" applyAlignment="1">
      <alignment horizontal="left" vertical="center" wrapText="1"/>
    </xf>
    <xf numFmtId="4" fontId="0" fillId="0" borderId="144" xfId="119" applyNumberFormat="1" applyFont="1" applyFill="1" applyBorder="1" applyAlignment="1" applyProtection="1">
      <alignment horizontal="right" vertical="center"/>
    </xf>
    <xf numFmtId="0" fontId="0" fillId="0" borderId="74" xfId="2" applyNumberFormat="1" applyFont="1" applyFill="1" applyBorder="1" applyAlignment="1">
      <alignment horizontal="center" vertical="center"/>
    </xf>
    <xf numFmtId="2" fontId="11" fillId="4" borderId="46" xfId="119" applyNumberFormat="1" applyFill="1" applyBorder="1"/>
    <xf numFmtId="0" fontId="0" fillId="0" borderId="108" xfId="2" applyNumberFormat="1" applyFont="1" applyBorder="1" applyAlignment="1">
      <alignment horizontal="center" vertical="center"/>
    </xf>
    <xf numFmtId="0" fontId="0" fillId="0" borderId="112" xfId="2" applyNumberFormat="1" applyFont="1" applyBorder="1" applyAlignment="1">
      <alignment horizontal="left" vertical="center" wrapText="1"/>
    </xf>
    <xf numFmtId="0" fontId="0" fillId="0" borderId="118" xfId="2" applyNumberFormat="1" applyFont="1" applyBorder="1" applyAlignment="1">
      <alignment horizontal="left" vertical="center" wrapText="1"/>
    </xf>
    <xf numFmtId="0" fontId="0" fillId="0" borderId="118" xfId="2" applyNumberFormat="1" applyFont="1" applyBorder="1" applyAlignment="1">
      <alignment horizontal="center" vertical="center" wrapText="1"/>
    </xf>
    <xf numFmtId="0" fontId="0" fillId="0" borderId="113" xfId="2" applyNumberFormat="1" applyFont="1" applyBorder="1" applyAlignment="1">
      <alignment horizontal="left" vertical="center" wrapText="1"/>
    </xf>
    <xf numFmtId="4" fontId="0" fillId="0" borderId="176" xfId="119" applyNumberFormat="1" applyFont="1" applyFill="1" applyBorder="1" applyAlignment="1" applyProtection="1">
      <alignment horizontal="right" vertical="center"/>
    </xf>
    <xf numFmtId="4" fontId="0" fillId="0" borderId="177" xfId="119" applyNumberFormat="1" applyFont="1" applyFill="1" applyBorder="1" applyAlignment="1" applyProtection="1">
      <alignment horizontal="right" vertical="center"/>
    </xf>
    <xf numFmtId="0" fontId="14" fillId="0" borderId="118" xfId="119" applyNumberFormat="1" applyFont="1" applyFill="1" applyBorder="1" applyAlignment="1" applyProtection="1">
      <alignment horizontal="center" vertical="center" wrapText="1"/>
    </xf>
    <xf numFmtId="0" fontId="0" fillId="0" borderId="178" xfId="2" applyNumberFormat="1" applyFont="1" applyBorder="1" applyAlignment="1">
      <alignment horizontal="center" vertical="center"/>
    </xf>
    <xf numFmtId="0" fontId="0" fillId="0" borderId="143" xfId="2" applyNumberFormat="1" applyFont="1" applyBorder="1" applyAlignment="1">
      <alignment horizontal="left" vertical="center" wrapText="1"/>
    </xf>
    <xf numFmtId="0" fontId="0" fillId="0" borderId="143" xfId="2" applyNumberFormat="1" applyFont="1" applyBorder="1" applyAlignment="1">
      <alignment horizontal="center" vertical="center" wrapText="1"/>
    </xf>
    <xf numFmtId="0" fontId="0" fillId="0" borderId="179" xfId="2" applyNumberFormat="1" applyFont="1" applyBorder="1" applyAlignment="1">
      <alignment horizontal="left" vertical="center" wrapText="1"/>
    </xf>
    <xf numFmtId="4" fontId="0" fillId="0" borderId="142" xfId="119" applyNumberFormat="1" applyFont="1" applyFill="1" applyBorder="1" applyAlignment="1" applyProtection="1">
      <alignment horizontal="right" vertical="center"/>
    </xf>
    <xf numFmtId="0" fontId="0" fillId="0" borderId="180" xfId="2" applyNumberFormat="1" applyFont="1" applyFill="1" applyBorder="1" applyAlignment="1">
      <alignment horizontal="left" vertical="center"/>
    </xf>
    <xf numFmtId="0" fontId="14" fillId="0" borderId="70" xfId="119" applyNumberFormat="1" applyFont="1" applyFill="1" applyBorder="1" applyAlignment="1" applyProtection="1">
      <alignment horizontal="center" vertical="center"/>
    </xf>
    <xf numFmtId="0" fontId="0" fillId="0" borderId="73" xfId="2" applyNumberFormat="1" applyFont="1" applyFill="1" applyBorder="1" applyAlignment="1">
      <alignment horizontal="left" vertical="center"/>
    </xf>
    <xf numFmtId="2" fontId="0" fillId="4" borderId="180" xfId="2" applyNumberFormat="1" applyFont="1" applyFill="1" applyBorder="1" applyAlignment="1">
      <alignment horizontal="right" vertical="center"/>
    </xf>
    <xf numFmtId="0" fontId="0" fillId="0" borderId="112" xfId="2" applyNumberFormat="1" applyFont="1" applyBorder="1" applyAlignment="1">
      <alignment horizontal="left" vertical="center"/>
    </xf>
    <xf numFmtId="0" fontId="14" fillId="0" borderId="118" xfId="119" applyNumberFormat="1" applyFont="1" applyFill="1" applyBorder="1" applyAlignment="1" applyProtection="1">
      <alignment horizontal="center" vertical="center"/>
    </xf>
    <xf numFmtId="2" fontId="0" fillId="4" borderId="112" xfId="2" applyNumberFormat="1" applyFont="1" applyFill="1" applyBorder="1" applyAlignment="1">
      <alignment horizontal="right" vertical="center"/>
    </xf>
    <xf numFmtId="0" fontId="0" fillId="0" borderId="175" xfId="2" applyNumberFormat="1" applyFont="1" applyBorder="1" applyAlignment="1">
      <alignment horizontal="left" vertical="center"/>
    </xf>
    <xf numFmtId="0" fontId="0" fillId="0" borderId="143" xfId="2" applyNumberFormat="1" applyFont="1" applyFill="1" applyBorder="1" applyAlignment="1">
      <alignment horizontal="left" vertical="center"/>
    </xf>
    <xf numFmtId="0" fontId="14" fillId="0" borderId="143" xfId="119" applyNumberFormat="1" applyFont="1" applyFill="1" applyBorder="1" applyAlignment="1" applyProtection="1">
      <alignment horizontal="center" vertical="center"/>
    </xf>
    <xf numFmtId="0" fontId="0" fillId="0" borderId="179" xfId="2" applyNumberFormat="1" applyFont="1" applyFill="1" applyBorder="1" applyAlignment="1">
      <alignment horizontal="left" vertical="center"/>
    </xf>
    <xf numFmtId="0" fontId="0" fillId="0" borderId="142" xfId="2" applyNumberFormat="1" applyFont="1" applyBorder="1" applyAlignment="1">
      <alignment horizontal="center" vertical="center"/>
    </xf>
    <xf numFmtId="2" fontId="0" fillId="4" borderId="175" xfId="2" applyNumberFormat="1" applyFont="1" applyFill="1" applyBorder="1" applyAlignment="1">
      <alignment horizontal="right" vertical="center"/>
    </xf>
    <xf numFmtId="0" fontId="14" fillId="4" borderId="14" xfId="0" applyFont="1" applyFill="1" applyBorder="1"/>
    <xf numFmtId="0" fontId="0" fillId="0" borderId="13" xfId="0" applyBorder="1" applyAlignment="1"/>
    <xf numFmtId="0" fontId="0" fillId="0" borderId="12" xfId="0" applyBorder="1" applyAlignment="1"/>
    <xf numFmtId="0" fontId="0" fillId="0" borderId="0" xfId="0" applyAlignment="1"/>
    <xf numFmtId="0" fontId="0" fillId="0" borderId="0" xfId="0" applyAlignment="1">
      <alignment horizontal="center"/>
    </xf>
    <xf numFmtId="0" fontId="12" fillId="25" borderId="19" xfId="2" applyNumberFormat="1" applyFont="1" applyFill="1" applyBorder="1" applyAlignment="1">
      <alignment horizontal="center" vertical="center"/>
    </xf>
    <xf numFmtId="0" fontId="12" fillId="25" borderId="18" xfId="2" applyNumberFormat="1" applyFont="1" applyFill="1" applyBorder="1" applyAlignment="1">
      <alignment horizontal="left" vertical="center"/>
    </xf>
    <xf numFmtId="0" fontId="12" fillId="25" borderId="18" xfId="2" applyNumberFormat="1" applyFont="1" applyFill="1" applyBorder="1" applyAlignment="1">
      <alignment horizontal="center" vertical="center"/>
    </xf>
    <xf numFmtId="0" fontId="0" fillId="25" borderId="18" xfId="2" applyNumberFormat="1" applyFont="1" applyFill="1" applyBorder="1" applyAlignment="1">
      <alignment horizontal="right" vertical="center"/>
    </xf>
    <xf numFmtId="0" fontId="0" fillId="25" borderId="18" xfId="2" applyNumberFormat="1" applyFont="1" applyFill="1" applyBorder="1" applyAlignment="1">
      <alignment horizontal="left" vertical="center"/>
    </xf>
    <xf numFmtId="0" fontId="12" fillId="25" borderId="18" xfId="2" applyNumberFormat="1" applyFont="1" applyFill="1" applyBorder="1" applyAlignment="1">
      <alignment horizontal="right" vertical="center"/>
    </xf>
    <xf numFmtId="0" fontId="12" fillId="25" borderId="128" xfId="2" applyNumberFormat="1" applyFont="1" applyFill="1" applyBorder="1" applyAlignment="1">
      <alignment horizontal="right" vertical="center"/>
    </xf>
    <xf numFmtId="0" fontId="12" fillId="35" borderId="44" xfId="2" applyFont="1" applyFill="1" applyBorder="1" applyAlignment="1">
      <alignment vertical="center"/>
    </xf>
    <xf numFmtId="0" fontId="12" fillId="35" borderId="0" xfId="2" applyFont="1" applyFill="1" applyBorder="1" applyAlignment="1">
      <alignment vertical="center"/>
    </xf>
    <xf numFmtId="0" fontId="12" fillId="35" borderId="0" xfId="2" applyFont="1" applyFill="1" applyBorder="1" applyAlignment="1">
      <alignment horizontal="center" vertical="center"/>
    </xf>
    <xf numFmtId="175" fontId="0" fillId="35" borderId="0" xfId="170" applyNumberFormat="1" applyFont="1" applyFill="1" applyBorder="1" applyAlignment="1" applyProtection="1">
      <alignment horizontal="right" vertical="center"/>
    </xf>
    <xf numFmtId="0" fontId="0" fillId="35" borderId="0" xfId="2" applyFont="1" applyFill="1" applyBorder="1" applyAlignment="1">
      <alignment horizontal="center" vertical="center"/>
    </xf>
    <xf numFmtId="49" fontId="12" fillId="33" borderId="0" xfId="0" applyNumberFormat="1" applyFont="1" applyFill="1" applyBorder="1" applyAlignment="1">
      <alignment horizontal="left"/>
    </xf>
    <xf numFmtId="49" fontId="12" fillId="33" borderId="43" xfId="0" applyNumberFormat="1" applyFont="1" applyFill="1" applyBorder="1" applyAlignment="1">
      <alignment horizontal="center"/>
    </xf>
    <xf numFmtId="0" fontId="12" fillId="33" borderId="0" xfId="0" applyFont="1" applyFill="1" applyBorder="1" applyAlignment="1">
      <alignment horizontal="left"/>
    </xf>
    <xf numFmtId="0" fontId="12" fillId="33" borderId="43" xfId="2" applyNumberFormat="1" applyFont="1" applyFill="1" applyBorder="1" applyAlignment="1">
      <alignment horizontal="center" vertical="center"/>
    </xf>
    <xf numFmtId="0" fontId="42" fillId="33" borderId="44" xfId="2" applyFont="1" applyFill="1" applyBorder="1" applyAlignment="1">
      <alignment horizontal="center" vertical="center"/>
    </xf>
    <xf numFmtId="0" fontId="42" fillId="33" borderId="0" xfId="2" applyFont="1" applyFill="1" applyBorder="1" applyAlignment="1">
      <alignment horizontal="center" vertical="center"/>
    </xf>
    <xf numFmtId="175" fontId="0" fillId="35" borderId="0" xfId="167" applyNumberFormat="1" applyFont="1" applyFill="1" applyBorder="1" applyAlignment="1" applyProtection="1">
      <alignment horizontal="right" vertical="center"/>
    </xf>
    <xf numFmtId="0" fontId="12" fillId="35" borderId="27" xfId="2" applyFont="1" applyFill="1" applyBorder="1" applyAlignment="1">
      <alignment horizontal="left" vertical="center"/>
    </xf>
    <xf numFmtId="0" fontId="0" fillId="33" borderId="26" xfId="0" applyFill="1" applyBorder="1" applyAlignment="1">
      <alignment vertical="center"/>
    </xf>
    <xf numFmtId="175" fontId="0" fillId="33" borderId="26" xfId="119" applyFont="1" applyFill="1" applyBorder="1"/>
    <xf numFmtId="0" fontId="0" fillId="33" borderId="25" xfId="0" applyFill="1" applyBorder="1" applyAlignment="1">
      <alignment vertical="center"/>
    </xf>
    <xf numFmtId="0" fontId="13" fillId="34" borderId="24" xfId="2" applyFont="1" applyFill="1" applyBorder="1" applyAlignment="1">
      <alignment vertical="center"/>
    </xf>
    <xf numFmtId="0" fontId="13" fillId="34" borderId="0" xfId="2" applyFont="1" applyFill="1" applyBorder="1" applyAlignment="1">
      <alignment vertical="center"/>
    </xf>
    <xf numFmtId="0" fontId="13" fillId="34" borderId="0" xfId="2" applyFont="1" applyFill="1" applyBorder="1" applyAlignment="1">
      <alignment horizontal="right" vertical="center"/>
    </xf>
    <xf numFmtId="4" fontId="12" fillId="33" borderId="43" xfId="119" applyNumberFormat="1" applyFont="1" applyFill="1" applyBorder="1" applyAlignment="1">
      <alignment horizontal="right"/>
    </xf>
    <xf numFmtId="0" fontId="13" fillId="34" borderId="27" xfId="2" applyFont="1" applyFill="1" applyBorder="1" applyAlignment="1">
      <alignment vertical="center"/>
    </xf>
    <xf numFmtId="0" fontId="13" fillId="34" borderId="16" xfId="2" applyFont="1" applyFill="1" applyBorder="1" applyAlignment="1">
      <alignment vertical="center"/>
    </xf>
    <xf numFmtId="0" fontId="13" fillId="34" borderId="16" xfId="2" applyFont="1" applyFill="1" applyBorder="1" applyAlignment="1">
      <alignment horizontal="right" vertical="center"/>
    </xf>
    <xf numFmtId="4" fontId="12" fillId="33" borderId="15" xfId="119" applyNumberFormat="1" applyFont="1" applyFill="1" applyBorder="1" applyAlignment="1">
      <alignment horizontal="right"/>
    </xf>
    <xf numFmtId="0" fontId="19" fillId="33" borderId="118" xfId="0" applyFont="1" applyFill="1" applyBorder="1" applyAlignment="1">
      <alignment horizontal="right"/>
    </xf>
    <xf numFmtId="4" fontId="0" fillId="33" borderId="118" xfId="0" applyNumberFormat="1" applyFont="1" applyFill="1" applyBorder="1" applyAlignment="1">
      <alignment horizontal="right"/>
    </xf>
    <xf numFmtId="0" fontId="0" fillId="33" borderId="118" xfId="0" applyFont="1" applyFill="1" applyBorder="1"/>
    <xf numFmtId="0" fontId="0" fillId="33" borderId="20" xfId="0" applyFont="1" applyFill="1" applyBorder="1" applyAlignment="1">
      <alignment horizontal="center"/>
    </xf>
    <xf numFmtId="0" fontId="13" fillId="34" borderId="133" xfId="2" applyFont="1" applyFill="1" applyBorder="1" applyAlignment="1">
      <alignment vertical="center"/>
    </xf>
    <xf numFmtId="0" fontId="13" fillId="34" borderId="79" xfId="2" applyFont="1" applyFill="1" applyBorder="1" applyAlignment="1">
      <alignment vertical="center"/>
    </xf>
    <xf numFmtId="0" fontId="13" fillId="34" borderId="79" xfId="2" applyFont="1" applyFill="1" applyBorder="1" applyAlignment="1">
      <alignment horizontal="right" vertical="center"/>
    </xf>
    <xf numFmtId="4" fontId="13" fillId="34" borderId="134" xfId="2" applyNumberFormat="1" applyFont="1" applyFill="1" applyBorder="1" applyAlignment="1">
      <alignment horizontal="right" vertical="center"/>
    </xf>
    <xf numFmtId="0" fontId="13" fillId="34" borderId="181" xfId="2" applyFont="1" applyFill="1" applyBorder="1" applyAlignment="1">
      <alignment vertical="center"/>
    </xf>
    <xf numFmtId="0" fontId="13" fillId="34" borderId="70" xfId="2" applyFont="1" applyFill="1" applyBorder="1" applyAlignment="1">
      <alignment vertical="center"/>
    </xf>
    <xf numFmtId="0" fontId="13" fillId="34" borderId="70" xfId="2" applyFont="1" applyFill="1" applyBorder="1" applyAlignment="1">
      <alignment horizontal="right" vertical="center"/>
    </xf>
    <xf numFmtId="175" fontId="12" fillId="33" borderId="151" xfId="119" applyFont="1" applyFill="1" applyBorder="1" applyAlignment="1">
      <alignment horizontal="right"/>
    </xf>
    <xf numFmtId="44" fontId="59" fillId="33" borderId="43" xfId="124" applyNumberFormat="1" applyFont="1" applyFill="1" applyBorder="1" applyAlignment="1">
      <alignment horizontal="center"/>
    </xf>
    <xf numFmtId="17" fontId="59" fillId="33" borderId="43" xfId="124" applyNumberFormat="1" applyFont="1" applyFill="1" applyBorder="1" applyAlignment="1">
      <alignment horizontal="center"/>
    </xf>
    <xf numFmtId="0" fontId="59" fillId="33" borderId="25" xfId="124" applyFont="1" applyFill="1" applyBorder="1"/>
    <xf numFmtId="4" fontId="12" fillId="38" borderId="51" xfId="1" applyNumberFormat="1" applyFont="1" applyFill="1" applyBorder="1" applyAlignment="1" applyProtection="1">
      <alignment horizontal="right" vertical="center"/>
    </xf>
    <xf numFmtId="164" fontId="12" fillId="37" borderId="1" xfId="1" applyFont="1" applyFill="1" applyBorder="1" applyAlignment="1" applyProtection="1">
      <alignment horizontal="right" vertical="center"/>
    </xf>
    <xf numFmtId="4" fontId="11" fillId="4" borderId="46" xfId="1" applyNumberFormat="1" applyFont="1" applyFill="1" applyBorder="1" applyAlignment="1" applyProtection="1">
      <alignment horizontal="center" vertical="center"/>
    </xf>
    <xf numFmtId="4" fontId="11" fillId="4" borderId="186" xfId="1" applyNumberFormat="1" applyFont="1" applyFill="1" applyBorder="1" applyAlignment="1">
      <alignment horizontal="center" vertical="center"/>
    </xf>
    <xf numFmtId="0" fontId="0" fillId="4" borderId="22" xfId="2" applyNumberFormat="1" applyFont="1" applyFill="1" applyBorder="1" applyAlignment="1">
      <alignment horizontal="center" vertical="center"/>
    </xf>
    <xf numFmtId="0" fontId="0" fillId="4" borderId="0" xfId="0" applyFill="1" applyBorder="1" applyAlignment="1">
      <alignment horizontal="right"/>
    </xf>
    <xf numFmtId="0" fontId="57" fillId="0" borderId="0" xfId="0" applyFont="1"/>
    <xf numFmtId="0" fontId="60" fillId="0" borderId="0" xfId="0" applyFont="1"/>
    <xf numFmtId="0" fontId="14" fillId="4" borderId="22" xfId="0" applyFont="1" applyFill="1" applyBorder="1" applyAlignment="1">
      <alignment horizontal="right" vertical="center"/>
    </xf>
    <xf numFmtId="0" fontId="14" fillId="4" borderId="118" xfId="0" applyFont="1" applyFill="1" applyBorder="1" applyAlignment="1">
      <alignment horizontal="left" vertical="center"/>
    </xf>
    <xf numFmtId="0" fontId="46" fillId="4" borderId="22" xfId="0" applyFont="1" applyFill="1" applyBorder="1" applyAlignment="1">
      <alignment horizontal="right" vertical="center"/>
    </xf>
    <xf numFmtId="2" fontId="14" fillId="4" borderId="118" xfId="0" applyNumberFormat="1" applyFont="1" applyFill="1" applyBorder="1" applyAlignment="1">
      <alignment horizontal="center" vertical="center"/>
    </xf>
    <xf numFmtId="0" fontId="43" fillId="4" borderId="118" xfId="0" applyFont="1" applyFill="1" applyBorder="1" applyAlignment="1">
      <alignment horizontal="left" vertical="center"/>
    </xf>
    <xf numFmtId="4" fontId="43" fillId="4" borderId="118" xfId="0" applyNumberFormat="1" applyFont="1" applyFill="1" applyBorder="1" applyAlignment="1">
      <alignment horizontal="right" vertical="center"/>
    </xf>
    <xf numFmtId="0" fontId="14" fillId="4" borderId="118" xfId="0" applyFont="1" applyFill="1" applyBorder="1" applyAlignment="1">
      <alignment vertical="center"/>
    </xf>
    <xf numFmtId="0" fontId="14" fillId="4" borderId="20" xfId="0" applyFont="1" applyFill="1" applyBorder="1" applyAlignment="1">
      <alignment horizontal="left" vertical="center"/>
    </xf>
    <xf numFmtId="0" fontId="0" fillId="4" borderId="0" xfId="0" applyFont="1" applyFill="1"/>
    <xf numFmtId="0" fontId="57" fillId="4" borderId="0" xfId="0" applyFont="1" applyFill="1"/>
    <xf numFmtId="0" fontId="47" fillId="4" borderId="0" xfId="0" applyFont="1" applyFill="1"/>
    <xf numFmtId="4" fontId="47" fillId="4" borderId="0" xfId="0" applyNumberFormat="1" applyFont="1" applyFill="1" applyBorder="1" applyAlignment="1">
      <alignment horizontal="right" vertical="center"/>
    </xf>
    <xf numFmtId="0" fontId="20" fillId="4" borderId="0" xfId="0" applyFont="1" applyFill="1"/>
    <xf numFmtId="0" fontId="86" fillId="4" borderId="0" xfId="0" applyFont="1" applyFill="1"/>
    <xf numFmtId="4" fontId="47" fillId="4" borderId="0" xfId="0" applyNumberFormat="1" applyFont="1" applyFill="1" applyBorder="1" applyAlignment="1">
      <alignment vertical="center"/>
    </xf>
    <xf numFmtId="0" fontId="87" fillId="4" borderId="0" xfId="0" applyFont="1" applyFill="1"/>
    <xf numFmtId="4" fontId="47" fillId="4" borderId="0" xfId="0" applyNumberFormat="1" applyFont="1" applyFill="1"/>
    <xf numFmtId="0" fontId="47" fillId="4" borderId="0" xfId="0" applyFont="1" applyFill="1" applyBorder="1" applyAlignment="1">
      <alignment horizontal="left" vertical="center"/>
    </xf>
    <xf numFmtId="0" fontId="47" fillId="4" borderId="0" xfId="0" applyFont="1" applyFill="1" applyBorder="1" applyAlignment="1">
      <alignment vertical="center"/>
    </xf>
    <xf numFmtId="0" fontId="20" fillId="4" borderId="0" xfId="0" applyFont="1" applyFill="1" applyBorder="1"/>
    <xf numFmtId="0" fontId="47" fillId="4" borderId="0" xfId="0" applyFont="1" applyFill="1" applyBorder="1"/>
    <xf numFmtId="0" fontId="0" fillId="4" borderId="46" xfId="2" applyNumberFormat="1" applyFont="1" applyFill="1" applyBorder="1" applyAlignment="1">
      <alignment horizontal="center" vertical="center"/>
    </xf>
    <xf numFmtId="0" fontId="11" fillId="4" borderId="13" xfId="2" applyNumberFormat="1" applyFont="1" applyFill="1" applyBorder="1" applyAlignment="1">
      <alignment horizontal="left" vertical="center"/>
    </xf>
    <xf numFmtId="2" fontId="11" fillId="4" borderId="13" xfId="2" applyNumberFormat="1" applyFont="1" applyFill="1" applyBorder="1" applyAlignment="1">
      <alignment horizontal="center" vertical="center"/>
    </xf>
    <xf numFmtId="0" fontId="11" fillId="4" borderId="118" xfId="2" applyNumberFormat="1" applyFont="1" applyFill="1" applyBorder="1" applyAlignment="1">
      <alignment horizontal="center" vertical="center"/>
    </xf>
    <xf numFmtId="0" fontId="43" fillId="4" borderId="22" xfId="0" applyFont="1" applyFill="1" applyBorder="1"/>
    <xf numFmtId="0" fontId="43" fillId="4" borderId="118" xfId="0" applyFont="1" applyFill="1" applyBorder="1"/>
    <xf numFmtId="0" fontId="49" fillId="4" borderId="118" xfId="0" applyFont="1" applyFill="1" applyBorder="1" applyAlignment="1">
      <alignment horizontal="right"/>
    </xf>
    <xf numFmtId="0" fontId="14" fillId="4" borderId="118" xfId="0" applyFont="1" applyFill="1" applyBorder="1"/>
    <xf numFmtId="0" fontId="49" fillId="33" borderId="118" xfId="0" applyFont="1" applyFill="1" applyBorder="1" applyAlignment="1">
      <alignment horizontal="right"/>
    </xf>
    <xf numFmtId="4" fontId="14" fillId="33" borderId="118" xfId="0" applyNumberFormat="1" applyFont="1" applyFill="1" applyBorder="1" applyAlignment="1">
      <alignment horizontal="right"/>
    </xf>
    <xf numFmtId="0" fontId="14" fillId="33" borderId="118" xfId="0" applyFont="1" applyFill="1" applyBorder="1"/>
    <xf numFmtId="0" fontId="14" fillId="33" borderId="20" xfId="0" applyFont="1" applyFill="1" applyBorder="1" applyAlignment="1">
      <alignment horizontal="center"/>
    </xf>
    <xf numFmtId="0" fontId="12" fillId="33" borderId="22" xfId="0" applyFont="1" applyFill="1" applyBorder="1" applyAlignment="1">
      <alignment horizontal="right"/>
    </xf>
    <xf numFmtId="0" fontId="0" fillId="6" borderId="22" xfId="2" applyNumberFormat="1" applyFont="1" applyFill="1" applyBorder="1" applyAlignment="1">
      <alignment horizontal="center" vertical="center"/>
    </xf>
    <xf numFmtId="0" fontId="12" fillId="4" borderId="13" xfId="2" applyNumberFormat="1" applyFont="1" applyFill="1" applyBorder="1" applyAlignment="1">
      <alignment horizontal="left" vertical="center"/>
    </xf>
    <xf numFmtId="2" fontId="12" fillId="4" borderId="13" xfId="2" applyNumberFormat="1" applyFont="1" applyFill="1" applyBorder="1" applyAlignment="1">
      <alignment horizontal="center" vertical="center"/>
    </xf>
    <xf numFmtId="0" fontId="12" fillId="4" borderId="21" xfId="2" applyNumberFormat="1" applyFont="1" applyFill="1" applyBorder="1" applyAlignment="1">
      <alignment horizontal="left" vertical="center"/>
    </xf>
    <xf numFmtId="2" fontId="12" fillId="4" borderId="21" xfId="2" applyNumberFormat="1" applyFont="1" applyFill="1" applyBorder="1" applyAlignment="1">
      <alignment horizontal="center" vertical="center"/>
    </xf>
    <xf numFmtId="0" fontId="12" fillId="33" borderId="22" xfId="0" applyFont="1" applyFill="1" applyBorder="1" applyAlignment="1">
      <alignment horizontal="right" vertical="center"/>
    </xf>
    <xf numFmtId="0" fontId="19" fillId="33" borderId="118" xfId="0" applyFont="1" applyFill="1" applyBorder="1" applyAlignment="1">
      <alignment horizontal="right" vertical="center"/>
    </xf>
    <xf numFmtId="0" fontId="49" fillId="4" borderId="118" xfId="0" applyFont="1" applyFill="1" applyBorder="1" applyAlignment="1">
      <alignment horizontal="right" vertical="center"/>
    </xf>
    <xf numFmtId="4" fontId="14" fillId="4" borderId="118" xfId="0" applyNumberFormat="1" applyFont="1" applyFill="1" applyBorder="1" applyAlignment="1">
      <alignment horizontal="right" vertical="center"/>
    </xf>
    <xf numFmtId="0" fontId="49" fillId="4" borderId="118" xfId="0" applyFont="1" applyFill="1" applyBorder="1" applyAlignment="1">
      <alignment horizontal="center" vertical="center"/>
    </xf>
    <xf numFmtId="0" fontId="14" fillId="4" borderId="118" xfId="0" applyFont="1" applyFill="1" applyBorder="1" applyAlignment="1">
      <alignment horizontal="center" vertical="center"/>
    </xf>
    <xf numFmtId="4" fontId="49" fillId="4" borderId="118" xfId="0" applyNumberFormat="1" applyFont="1" applyFill="1" applyBorder="1" applyAlignment="1">
      <alignment horizontal="right" vertical="center"/>
    </xf>
    <xf numFmtId="0" fontId="14" fillId="4" borderId="22" xfId="0" applyFont="1" applyFill="1" applyBorder="1" applyAlignment="1">
      <alignment vertical="center"/>
    </xf>
    <xf numFmtId="2" fontId="49" fillId="4" borderId="118" xfId="0" applyNumberFormat="1" applyFont="1" applyFill="1" applyBorder="1" applyAlignment="1">
      <alignment horizontal="center" vertical="center"/>
    </xf>
    <xf numFmtId="0" fontId="43" fillId="4" borderId="118" xfId="0" applyFont="1" applyFill="1" applyBorder="1" applyAlignment="1">
      <alignment vertical="center"/>
    </xf>
    <xf numFmtId="0" fontId="19" fillId="33" borderId="20" xfId="0" applyFont="1" applyFill="1" applyBorder="1" applyAlignment="1">
      <alignment horizontal="right" vertical="center"/>
    </xf>
    <xf numFmtId="0" fontId="49" fillId="4" borderId="20" xfId="0" applyFont="1" applyFill="1" applyBorder="1" applyAlignment="1">
      <alignment horizontal="right" vertical="center"/>
    </xf>
    <xf numFmtId="4" fontId="0" fillId="33" borderId="118" xfId="0" applyNumberFormat="1" applyFont="1" applyFill="1" applyBorder="1" applyAlignment="1">
      <alignment horizontal="right" vertical="center"/>
    </xf>
    <xf numFmtId="0" fontId="0" fillId="33" borderId="118" xfId="0" applyFont="1" applyFill="1" applyBorder="1" applyAlignment="1">
      <alignment vertical="center"/>
    </xf>
    <xf numFmtId="0" fontId="12" fillId="33" borderId="118" xfId="0" applyFont="1" applyFill="1" applyBorder="1"/>
    <xf numFmtId="0" fontId="12" fillId="33" borderId="118" xfId="0" applyFont="1" applyFill="1" applyBorder="1" applyAlignment="1">
      <alignment vertical="center"/>
    </xf>
    <xf numFmtId="0" fontId="44" fillId="4" borderId="22" xfId="0" applyFont="1" applyFill="1" applyBorder="1" applyAlignment="1">
      <alignment horizontal="right"/>
    </xf>
    <xf numFmtId="0" fontId="44" fillId="4" borderId="118" xfId="0" applyFont="1" applyFill="1" applyBorder="1"/>
    <xf numFmtId="0" fontId="0" fillId="4" borderId="118" xfId="0" applyFont="1" applyFill="1" applyBorder="1"/>
    <xf numFmtId="4" fontId="45" fillId="4" borderId="118" xfId="0" applyNumberFormat="1" applyFont="1" applyFill="1" applyBorder="1" applyAlignment="1">
      <alignment horizontal="right"/>
    </xf>
    <xf numFmtId="0" fontId="44" fillId="4" borderId="20" xfId="0" applyFont="1" applyFill="1" applyBorder="1" applyAlignment="1">
      <alignment horizontal="center"/>
    </xf>
    <xf numFmtId="0" fontId="14" fillId="4" borderId="118" xfId="0" applyFont="1" applyFill="1" applyBorder="1" applyAlignment="1"/>
    <xf numFmtId="0" fontId="0" fillId="4" borderId="118" xfId="0" applyFill="1" applyBorder="1" applyAlignment="1">
      <alignment horizontal="left"/>
    </xf>
    <xf numFmtId="4" fontId="46" fillId="4" borderId="118" xfId="0" applyNumberFormat="1" applyFont="1" applyFill="1" applyBorder="1" applyAlignment="1">
      <alignment horizontal="right"/>
    </xf>
    <xf numFmtId="0" fontId="46" fillId="4" borderId="118" xfId="0" applyFont="1" applyFill="1" applyBorder="1"/>
    <xf numFmtId="0" fontId="46" fillId="4" borderId="20" xfId="0" applyFont="1" applyFill="1" applyBorder="1" applyAlignment="1">
      <alignment horizontal="center"/>
    </xf>
    <xf numFmtId="0" fontId="14" fillId="4" borderId="118" xfId="0" applyFont="1" applyFill="1" applyBorder="1" applyAlignment="1">
      <alignment horizontal="center"/>
    </xf>
    <xf numFmtId="2" fontId="14" fillId="4" borderId="118" xfId="0" applyNumberFormat="1" applyFont="1" applyFill="1" applyBorder="1" applyAlignment="1">
      <alignment horizontal="center"/>
    </xf>
    <xf numFmtId="3" fontId="14" fillId="4" borderId="118" xfId="0" applyNumberFormat="1" applyFont="1" applyFill="1" applyBorder="1" applyAlignment="1">
      <alignment horizontal="right"/>
    </xf>
    <xf numFmtId="0" fontId="43" fillId="4" borderId="118" xfId="0" applyFont="1" applyFill="1" applyBorder="1" applyAlignment="1"/>
    <xf numFmtId="4" fontId="14" fillId="4" borderId="118" xfId="0" applyNumberFormat="1" applyFont="1" applyFill="1" applyBorder="1"/>
    <xf numFmtId="169" fontId="14" fillId="4" borderId="118" xfId="0" applyNumberFormat="1" applyFont="1" applyFill="1" applyBorder="1"/>
    <xf numFmtId="4" fontId="43" fillId="4" borderId="118" xfId="1" applyNumberFormat="1" applyFont="1" applyFill="1" applyBorder="1" applyAlignment="1">
      <alignment horizontal="right"/>
    </xf>
    <xf numFmtId="0" fontId="46" fillId="4" borderId="118" xfId="0" applyFont="1" applyFill="1" applyBorder="1" applyAlignment="1">
      <alignment horizontal="right"/>
    </xf>
    <xf numFmtId="4" fontId="49" fillId="4" borderId="118" xfId="0" applyNumberFormat="1" applyFont="1" applyFill="1" applyBorder="1" applyAlignment="1">
      <alignment horizontal="center"/>
    </xf>
    <xf numFmtId="2" fontId="49" fillId="4" borderId="118" xfId="0" applyNumberFormat="1" applyFont="1" applyFill="1" applyBorder="1" applyAlignment="1">
      <alignment horizontal="center"/>
    </xf>
    <xf numFmtId="0" fontId="60" fillId="4" borderId="118" xfId="0" applyFont="1" applyFill="1" applyBorder="1" applyAlignment="1">
      <alignment horizontal="left"/>
    </xf>
    <xf numFmtId="0" fontId="49" fillId="4" borderId="118" xfId="0" applyFont="1" applyFill="1" applyBorder="1"/>
    <xf numFmtId="4" fontId="0" fillId="4" borderId="118" xfId="0" applyNumberFormat="1" applyFont="1" applyFill="1" applyBorder="1" applyAlignment="1">
      <alignment horizontal="right"/>
    </xf>
    <xf numFmtId="4" fontId="14" fillId="4" borderId="118" xfId="1" applyNumberFormat="1" applyFont="1" applyFill="1" applyBorder="1" applyAlignment="1">
      <alignment horizontal="right"/>
    </xf>
    <xf numFmtId="0" fontId="55" fillId="4" borderId="20" xfId="0" applyFont="1" applyFill="1" applyBorder="1" applyAlignment="1">
      <alignment horizontal="center"/>
    </xf>
    <xf numFmtId="4" fontId="14" fillId="4" borderId="20" xfId="0" applyNumberFormat="1" applyFont="1" applyFill="1" applyBorder="1" applyAlignment="1">
      <alignment horizontal="right"/>
    </xf>
    <xf numFmtId="4" fontId="43" fillId="4" borderId="20" xfId="0" applyNumberFormat="1" applyFont="1" applyFill="1" applyBorder="1" applyAlignment="1">
      <alignment horizontal="right"/>
    </xf>
    <xf numFmtId="0" fontId="0" fillId="4" borderId="22" xfId="0" applyFont="1" applyFill="1" applyBorder="1"/>
    <xf numFmtId="0" fontId="12" fillId="4" borderId="118" xfId="0" applyFont="1" applyFill="1" applyBorder="1"/>
    <xf numFmtId="0" fontId="0" fillId="4" borderId="20" xfId="0" applyFont="1" applyFill="1" applyBorder="1" applyAlignment="1">
      <alignment horizontal="center"/>
    </xf>
    <xf numFmtId="0" fontId="56" fillId="4" borderId="118" xfId="0" applyFont="1" applyFill="1" applyBorder="1" applyAlignment="1">
      <alignment horizontal="center"/>
    </xf>
    <xf numFmtId="0" fontId="14" fillId="4" borderId="20" xfId="0" applyFont="1" applyFill="1" applyBorder="1"/>
    <xf numFmtId="0" fontId="14" fillId="4" borderId="118" xfId="2" applyNumberFormat="1" applyFont="1" applyFill="1" applyBorder="1" applyAlignment="1">
      <alignment horizontal="left"/>
    </xf>
    <xf numFmtId="0" fontId="43" fillId="4" borderId="22" xfId="0" applyFont="1" applyFill="1" applyBorder="1" applyAlignment="1"/>
    <xf numFmtId="0" fontId="49" fillId="4" borderId="118" xfId="0" applyFont="1" applyFill="1" applyBorder="1" applyAlignment="1">
      <alignment horizontal="center"/>
    </xf>
    <xf numFmtId="0" fontId="60" fillId="4" borderId="118" xfId="0" applyFont="1" applyFill="1" applyBorder="1" applyAlignment="1">
      <alignment horizontal="right"/>
    </xf>
    <xf numFmtId="1" fontId="49" fillId="4" borderId="118" xfId="0" applyNumberFormat="1" applyFont="1" applyFill="1" applyBorder="1" applyAlignment="1">
      <alignment horizontal="right"/>
    </xf>
    <xf numFmtId="1" fontId="60" fillId="4" borderId="118" xfId="0" applyNumberFormat="1" applyFont="1" applyFill="1" applyBorder="1" applyAlignment="1">
      <alignment horizontal="right"/>
    </xf>
    <xf numFmtId="4" fontId="14" fillId="4" borderId="118" xfId="0" applyNumberFormat="1" applyFont="1" applyFill="1" applyBorder="1" applyAlignment="1">
      <alignment horizontal="center"/>
    </xf>
    <xf numFmtId="0" fontId="0" fillId="4" borderId="118" xfId="0" applyFill="1" applyBorder="1" applyAlignment="1">
      <alignment horizontal="center"/>
    </xf>
    <xf numFmtId="0" fontId="0" fillId="4" borderId="118" xfId="0" applyFont="1" applyFill="1" applyBorder="1" applyAlignment="1">
      <alignment horizontal="center"/>
    </xf>
    <xf numFmtId="2" fontId="49" fillId="4" borderId="118" xfId="0" applyNumberFormat="1" applyFont="1" applyFill="1" applyBorder="1" applyAlignment="1">
      <alignment horizontal="right"/>
    </xf>
    <xf numFmtId="0" fontId="46" fillId="4" borderId="118" xfId="0" applyFont="1" applyFill="1" applyBorder="1" applyAlignment="1">
      <alignment horizontal="center"/>
    </xf>
    <xf numFmtId="0" fontId="43" fillId="33" borderId="123" xfId="0" applyFont="1" applyFill="1" applyBorder="1"/>
    <xf numFmtId="0" fontId="14" fillId="33" borderId="124" xfId="0" applyFont="1" applyFill="1" applyBorder="1"/>
    <xf numFmtId="0" fontId="49" fillId="33" borderId="124" xfId="0" applyFont="1" applyFill="1" applyBorder="1" applyAlignment="1">
      <alignment horizontal="right"/>
    </xf>
    <xf numFmtId="4" fontId="43" fillId="33" borderId="124" xfId="0" applyNumberFormat="1" applyFont="1" applyFill="1" applyBorder="1" applyAlignment="1">
      <alignment horizontal="right"/>
    </xf>
    <xf numFmtId="0" fontId="43" fillId="33" borderId="124" xfId="0" applyFont="1" applyFill="1" applyBorder="1" applyAlignment="1">
      <alignment horizontal="left"/>
    </xf>
    <xf numFmtId="0" fontId="14" fillId="33" borderId="125" xfId="0" applyFont="1" applyFill="1" applyBorder="1" applyAlignment="1">
      <alignment horizontal="center"/>
    </xf>
    <xf numFmtId="0" fontId="45" fillId="4" borderId="118" xfId="0" applyFont="1" applyFill="1" applyBorder="1"/>
    <xf numFmtId="0" fontId="45" fillId="4" borderId="22" xfId="0" applyFont="1" applyFill="1" applyBorder="1" applyAlignment="1">
      <alignment horizontal="right"/>
    </xf>
    <xf numFmtId="4" fontId="46" fillId="4" borderId="118" xfId="0" applyNumberFormat="1" applyFont="1" applyFill="1" applyBorder="1" applyAlignment="1">
      <alignment horizontal="right" vertical="center"/>
    </xf>
    <xf numFmtId="44" fontId="59" fillId="33" borderId="12" xfId="124" applyNumberFormat="1" applyFont="1" applyFill="1" applyBorder="1"/>
    <xf numFmtId="4" fontId="2" fillId="0" borderId="0" xfId="124" applyNumberFormat="1" applyFont="1"/>
    <xf numFmtId="9" fontId="20" fillId="39" borderId="89" xfId="73" applyNumberFormat="1" applyFont="1" applyFill="1" applyBorder="1" applyAlignment="1">
      <alignment horizontal="center" vertical="center"/>
    </xf>
    <xf numFmtId="0" fontId="11" fillId="39" borderId="66" xfId="73" applyFont="1" applyFill="1" applyBorder="1" applyAlignment="1">
      <alignment vertical="center"/>
    </xf>
    <xf numFmtId="9" fontId="20" fillId="39" borderId="66" xfId="73" applyNumberFormat="1" applyFont="1" applyFill="1" applyBorder="1" applyAlignment="1">
      <alignment horizontal="center" vertical="center"/>
    </xf>
    <xf numFmtId="0" fontId="42" fillId="32" borderId="27" xfId="124" applyFont="1" applyFill="1" applyBorder="1" applyAlignment="1">
      <alignment vertical="center"/>
    </xf>
    <xf numFmtId="4" fontId="14" fillId="0" borderId="0" xfId="0" applyNumberFormat="1" applyFont="1"/>
    <xf numFmtId="0" fontId="0" fillId="0" borderId="118" xfId="0" applyFont="1" applyBorder="1"/>
    <xf numFmtId="0" fontId="14" fillId="0" borderId="118" xfId="0" applyFont="1" applyBorder="1"/>
    <xf numFmtId="2" fontId="14" fillId="0" borderId="0" xfId="0" applyNumberFormat="1" applyFont="1"/>
    <xf numFmtId="0" fontId="88" fillId="0" borderId="0" xfId="0" applyFont="1"/>
    <xf numFmtId="0" fontId="42" fillId="33" borderId="0" xfId="2" applyFont="1" applyFill="1" applyBorder="1" applyAlignment="1">
      <alignment horizontal="center" vertical="center"/>
    </xf>
    <xf numFmtId="0" fontId="42" fillId="33" borderId="43" xfId="2" applyFont="1" applyFill="1" applyBorder="1" applyAlignment="1">
      <alignment horizontal="center" vertical="center"/>
    </xf>
    <xf numFmtId="9" fontId="20" fillId="39" borderId="118" xfId="73" applyNumberFormat="1" applyFont="1" applyFill="1" applyBorder="1" applyAlignment="1">
      <alignment horizontal="center" vertical="center"/>
    </xf>
    <xf numFmtId="9" fontId="20" fillId="4" borderId="118" xfId="73" applyNumberFormat="1" applyFont="1" applyFill="1" applyBorder="1" applyAlignment="1">
      <alignment horizontal="center" vertical="center"/>
    </xf>
    <xf numFmtId="10" fontId="59" fillId="0" borderId="12" xfId="124" applyNumberFormat="1" applyFont="1" applyBorder="1" applyAlignment="1">
      <alignment vertical="center"/>
    </xf>
    <xf numFmtId="10" fontId="59" fillId="0" borderId="95" xfId="124" applyNumberFormat="1" applyFont="1" applyBorder="1" applyAlignment="1">
      <alignment vertical="center"/>
    </xf>
    <xf numFmtId="0" fontId="11" fillId="26" borderId="189" xfId="3" applyNumberFormat="1" applyFont="1" applyFill="1" applyBorder="1" applyAlignment="1" applyProtection="1">
      <alignment horizontal="left" vertical="center"/>
    </xf>
    <xf numFmtId="0" fontId="12" fillId="26" borderId="16" xfId="3" applyNumberFormat="1" applyFont="1" applyFill="1" applyBorder="1" applyAlignment="1" applyProtection="1">
      <alignment horizontal="left" vertical="center"/>
    </xf>
    <xf numFmtId="0" fontId="12" fillId="26" borderId="189" xfId="3" applyNumberFormat="1" applyFont="1" applyFill="1" applyBorder="1" applyAlignment="1" applyProtection="1">
      <alignment horizontal="left" vertical="center"/>
    </xf>
    <xf numFmtId="0" fontId="13" fillId="24" borderId="16" xfId="3" applyNumberFormat="1" applyFont="1" applyFill="1" applyBorder="1" applyAlignment="1" applyProtection="1">
      <alignment horizontal="left" vertical="center"/>
    </xf>
    <xf numFmtId="0" fontId="13" fillId="24" borderId="189" xfId="3" applyNumberFormat="1" applyFont="1" applyFill="1" applyBorder="1" applyAlignment="1" applyProtection="1">
      <alignment horizontal="left" vertical="center"/>
    </xf>
    <xf numFmtId="10" fontId="12" fillId="25" borderId="50" xfId="1" applyNumberFormat="1" applyFont="1" applyFill="1" applyBorder="1" applyAlignment="1" applyProtection="1">
      <alignment horizontal="right" vertical="center"/>
    </xf>
    <xf numFmtId="10" fontId="12" fillId="38" borderId="51" xfId="1" applyNumberFormat="1" applyFont="1" applyFill="1" applyBorder="1" applyAlignment="1" applyProtection="1">
      <alignment horizontal="right" vertical="center"/>
    </xf>
    <xf numFmtId="4" fontId="88" fillId="0" borderId="0" xfId="0" applyNumberFormat="1" applyFont="1"/>
    <xf numFmtId="0" fontId="12" fillId="35" borderId="44" xfId="2" applyFont="1" applyFill="1" applyBorder="1" applyAlignment="1">
      <alignment horizontal="left" vertical="center"/>
    </xf>
    <xf numFmtId="0" fontId="0" fillId="33" borderId="0" xfId="0" applyFill="1" applyBorder="1" applyAlignment="1">
      <alignment vertical="center"/>
    </xf>
    <xf numFmtId="4" fontId="0" fillId="0" borderId="10" xfId="1" applyNumberFormat="1" applyFont="1" applyFill="1" applyBorder="1" applyAlignment="1" applyProtection="1">
      <alignment horizontal="right" vertical="center"/>
    </xf>
    <xf numFmtId="0" fontId="0" fillId="4" borderId="0" xfId="0" applyFill="1"/>
    <xf numFmtId="0" fontId="0" fillId="4" borderId="0" xfId="0" applyFill="1" applyAlignment="1">
      <alignment horizontal="center"/>
    </xf>
    <xf numFmtId="0" fontId="43" fillId="23" borderId="38" xfId="0" applyFont="1" applyFill="1" applyBorder="1"/>
    <xf numFmtId="0" fontId="43" fillId="23" borderId="37" xfId="0" applyFont="1" applyFill="1" applyBorder="1" applyAlignment="1">
      <alignment horizontal="center"/>
    </xf>
    <xf numFmtId="0" fontId="43" fillId="23" borderId="111" xfId="0" applyFont="1" applyFill="1" applyBorder="1" applyAlignment="1"/>
    <xf numFmtId="0" fontId="43" fillId="23" borderId="36" xfId="0" applyFont="1" applyFill="1" applyBorder="1" applyAlignment="1">
      <alignment horizontal="center"/>
    </xf>
    <xf numFmtId="0" fontId="43" fillId="23" borderId="34" xfId="0" applyFont="1" applyFill="1" applyBorder="1"/>
    <xf numFmtId="0" fontId="43" fillId="23" borderId="100" xfId="0" applyFont="1" applyFill="1" applyBorder="1" applyAlignment="1">
      <alignment horizontal="center"/>
    </xf>
    <xf numFmtId="0" fontId="43" fillId="23" borderId="103" xfId="0" applyFont="1" applyFill="1" applyBorder="1" applyAlignment="1">
      <alignment horizontal="center"/>
    </xf>
    <xf numFmtId="2" fontId="14" fillId="4" borderId="190" xfId="0" applyNumberFormat="1" applyFont="1" applyFill="1" applyBorder="1" applyAlignment="1">
      <alignment horizontal="center"/>
    </xf>
    <xf numFmtId="179" fontId="14" fillId="4" borderId="102" xfId="0" applyNumberFormat="1" applyFont="1" applyFill="1" applyBorder="1" applyAlignment="1">
      <alignment horizontal="center"/>
    </xf>
    <xf numFmtId="2" fontId="14" fillId="4" borderId="191" xfId="0" applyNumberFormat="1" applyFont="1" applyFill="1" applyBorder="1" applyAlignment="1">
      <alignment horizontal="center"/>
    </xf>
    <xf numFmtId="2" fontId="14" fillId="4" borderId="43" xfId="0" applyNumberFormat="1" applyFont="1" applyFill="1" applyBorder="1" applyAlignment="1">
      <alignment horizontal="center"/>
    </xf>
    <xf numFmtId="0" fontId="14" fillId="4" borderId="7" xfId="0" applyFont="1" applyFill="1" applyBorder="1"/>
    <xf numFmtId="0" fontId="14" fillId="4" borderId="6" xfId="0" applyFont="1" applyFill="1" applyBorder="1" applyAlignment="1">
      <alignment horizontal="center"/>
    </xf>
    <xf numFmtId="0" fontId="43" fillId="4" borderId="6" xfId="0" applyFont="1" applyFill="1" applyBorder="1" applyAlignment="1">
      <alignment horizontal="center"/>
    </xf>
    <xf numFmtId="2" fontId="43" fillId="4" borderId="5" xfId="0" applyNumberFormat="1" applyFont="1" applyFill="1" applyBorder="1" applyAlignment="1">
      <alignment horizontal="center"/>
    </xf>
    <xf numFmtId="0" fontId="43" fillId="23" borderId="190" xfId="0" applyFont="1" applyFill="1" applyBorder="1" applyAlignment="1">
      <alignment horizontal="center"/>
    </xf>
    <xf numFmtId="0" fontId="43" fillId="23" borderId="98" xfId="0" applyFont="1" applyFill="1" applyBorder="1" applyAlignment="1">
      <alignment horizontal="center"/>
    </xf>
    <xf numFmtId="0" fontId="14" fillId="4" borderId="0" xfId="0" applyFont="1" applyFill="1" applyBorder="1" applyAlignment="1">
      <alignment horizontal="center"/>
    </xf>
    <xf numFmtId="0" fontId="14" fillId="4" borderId="191" xfId="0" applyFont="1" applyFill="1" applyBorder="1" applyAlignment="1">
      <alignment horizontal="center"/>
    </xf>
    <xf numFmtId="4" fontId="14" fillId="4" borderId="191" xfId="0" applyNumberFormat="1" applyFont="1" applyFill="1" applyBorder="1" applyAlignment="1">
      <alignment horizontal="center"/>
    </xf>
    <xf numFmtId="4" fontId="14" fillId="4" borderId="43" xfId="0" applyNumberFormat="1" applyFont="1" applyFill="1" applyBorder="1" applyAlignment="1">
      <alignment horizontal="center"/>
    </xf>
    <xf numFmtId="0" fontId="14" fillId="4" borderId="98" xfId="0" applyFont="1" applyFill="1" applyBorder="1" applyAlignment="1">
      <alignment horizontal="center"/>
    </xf>
    <xf numFmtId="4" fontId="14" fillId="4" borderId="98" xfId="0" applyNumberFormat="1" applyFont="1" applyFill="1" applyBorder="1" applyAlignment="1">
      <alignment horizontal="center"/>
    </xf>
    <xf numFmtId="4" fontId="43" fillId="4" borderId="5" xfId="0" applyNumberFormat="1" applyFont="1" applyFill="1" applyBorder="1" applyAlignment="1">
      <alignment horizontal="center"/>
    </xf>
    <xf numFmtId="0" fontId="43" fillId="4" borderId="6" xfId="0" applyFont="1" applyFill="1" applyBorder="1" applyAlignment="1">
      <alignment horizontal="left"/>
    </xf>
    <xf numFmtId="179" fontId="14" fillId="4" borderId="191" xfId="0" applyNumberFormat="1" applyFont="1" applyFill="1" applyBorder="1" applyAlignment="1">
      <alignment horizontal="center"/>
    </xf>
    <xf numFmtId="2" fontId="14" fillId="4" borderId="98" xfId="0" applyNumberFormat="1" applyFont="1" applyFill="1" applyBorder="1" applyAlignment="1">
      <alignment horizontal="center"/>
    </xf>
    <xf numFmtId="0" fontId="43" fillId="23" borderId="4" xfId="0" applyFont="1" applyFill="1" applyBorder="1"/>
    <xf numFmtId="0" fontId="43" fillId="23" borderId="3" xfId="0" applyFont="1" applyFill="1" applyBorder="1" applyAlignment="1">
      <alignment horizontal="center"/>
    </xf>
    <xf numFmtId="2" fontId="43" fillId="23" borderId="85" xfId="0" applyNumberFormat="1" applyFont="1" applyFill="1" applyBorder="1" applyAlignment="1">
      <alignment horizontal="center"/>
    </xf>
    <xf numFmtId="0" fontId="89" fillId="33" borderId="44" xfId="0" applyFont="1" applyFill="1" applyBorder="1"/>
    <xf numFmtId="0" fontId="0" fillId="33" borderId="0" xfId="0" applyFill="1" applyBorder="1" applyAlignment="1">
      <alignment horizontal="center"/>
    </xf>
    <xf numFmtId="0" fontId="12" fillId="33" borderId="43" xfId="0" applyFont="1" applyFill="1" applyBorder="1" applyAlignment="1">
      <alignment horizontal="center"/>
    </xf>
    <xf numFmtId="0" fontId="12" fillId="33" borderId="0" xfId="0" applyFont="1" applyFill="1" applyBorder="1" applyAlignment="1">
      <alignment horizontal="center"/>
    </xf>
    <xf numFmtId="0" fontId="89" fillId="33" borderId="44" xfId="0" applyFont="1" applyFill="1" applyBorder="1" applyAlignment="1">
      <alignment horizontal="center"/>
    </xf>
    <xf numFmtId="0" fontId="89" fillId="33" borderId="0" xfId="0" applyFont="1" applyFill="1" applyBorder="1" applyAlignment="1">
      <alignment horizontal="center"/>
    </xf>
    <xf numFmtId="0" fontId="89" fillId="33" borderId="43" xfId="0" applyFont="1" applyFill="1" applyBorder="1" applyAlignment="1">
      <alignment horizontal="center"/>
    </xf>
    <xf numFmtId="0" fontId="16" fillId="35" borderId="0" xfId="2" applyFont="1" applyFill="1" applyBorder="1" applyAlignment="1">
      <alignment horizontal="center" vertical="center"/>
    </xf>
    <xf numFmtId="175" fontId="16" fillId="35" borderId="0" xfId="167" applyNumberFormat="1" applyFont="1" applyFill="1" applyBorder="1" applyAlignment="1" applyProtection="1">
      <alignment horizontal="right" vertical="center"/>
    </xf>
    <xf numFmtId="175" fontId="16" fillId="35" borderId="0" xfId="170" applyNumberFormat="1" applyFont="1" applyFill="1" applyBorder="1" applyAlignment="1" applyProtection="1">
      <alignment horizontal="right" vertical="center"/>
    </xf>
    <xf numFmtId="0" fontId="16" fillId="35" borderId="0" xfId="2" applyFont="1" applyFill="1" applyBorder="1" applyAlignment="1">
      <alignment horizontal="right" vertical="center"/>
    </xf>
    <xf numFmtId="0" fontId="0" fillId="0" borderId="26" xfId="0" applyBorder="1" applyAlignment="1">
      <alignment horizontal="center"/>
    </xf>
    <xf numFmtId="0" fontId="0" fillId="0" borderId="25" xfId="0" applyBorder="1" applyAlignment="1">
      <alignment horizontal="center"/>
    </xf>
    <xf numFmtId="0" fontId="0" fillId="0" borderId="27" xfId="2" applyNumberFormat="1" applyFont="1" applyFill="1" applyBorder="1" applyAlignment="1">
      <alignment horizontal="left" vertical="center"/>
    </xf>
    <xf numFmtId="2" fontId="0" fillId="0" borderId="25" xfId="0" applyNumberFormat="1" applyBorder="1" applyAlignment="1">
      <alignment horizontal="right"/>
    </xf>
    <xf numFmtId="49" fontId="42" fillId="32" borderId="25" xfId="124" applyNumberFormat="1" applyFont="1" applyFill="1" applyBorder="1" applyAlignment="1">
      <alignment horizontal="right" vertical="center"/>
    </xf>
    <xf numFmtId="17" fontId="12" fillId="33" borderId="0" xfId="2" applyNumberFormat="1" applyFont="1" applyFill="1" applyBorder="1" applyAlignment="1">
      <alignment horizontal="right" vertical="center"/>
    </xf>
    <xf numFmtId="49" fontId="12" fillId="33" borderId="25" xfId="2" applyNumberFormat="1" applyFont="1" applyFill="1" applyBorder="1" applyAlignment="1">
      <alignment horizontal="right" vertical="center"/>
    </xf>
    <xf numFmtId="10" fontId="11" fillId="0" borderId="93" xfId="73" applyNumberFormat="1" applyFont="1" applyFill="1" applyBorder="1" applyAlignment="1">
      <alignment vertical="center"/>
    </xf>
    <xf numFmtId="10" fontId="20" fillId="0" borderId="94" xfId="73" applyNumberFormat="1" applyFont="1" applyFill="1" applyBorder="1" applyAlignment="1">
      <alignment horizontal="center" vertical="center"/>
    </xf>
    <xf numFmtId="10" fontId="59" fillId="33" borderId="14" xfId="124" applyNumberFormat="1" applyFont="1" applyFill="1" applyBorder="1" applyAlignment="1">
      <alignment vertical="center"/>
    </xf>
    <xf numFmtId="44" fontId="59" fillId="33" borderId="12" xfId="124" applyNumberFormat="1" applyFont="1" applyFill="1" applyBorder="1" applyAlignment="1">
      <alignment vertical="center"/>
    </xf>
    <xf numFmtId="44" fontId="59" fillId="33" borderId="27" xfId="124" applyNumberFormat="1" applyFont="1" applyFill="1" applyBorder="1" applyAlignment="1">
      <alignment vertical="center"/>
    </xf>
    <xf numFmtId="44" fontId="59" fillId="33" borderId="25" xfId="124" applyNumberFormat="1" applyFont="1" applyFill="1" applyBorder="1" applyAlignment="1">
      <alignment vertical="center"/>
    </xf>
    <xf numFmtId="10" fontId="59" fillId="33" borderId="12" xfId="124" applyNumberFormat="1" applyFont="1" applyFill="1" applyBorder="1" applyAlignment="1">
      <alignment vertical="center"/>
    </xf>
    <xf numFmtId="2" fontId="59" fillId="33" borderId="44" xfId="124" applyNumberFormat="1" applyFont="1" applyFill="1" applyBorder="1" applyAlignment="1">
      <alignment horizontal="center" vertical="center"/>
    </xf>
    <xf numFmtId="2" fontId="59" fillId="33" borderId="0" xfId="124" applyNumberFormat="1" applyFont="1" applyFill="1" applyBorder="1" applyAlignment="1">
      <alignment horizontal="center" vertical="center"/>
    </xf>
    <xf numFmtId="2" fontId="59" fillId="33" borderId="27" xfId="124" applyNumberFormat="1" applyFont="1" applyFill="1" applyBorder="1" applyAlignment="1">
      <alignment horizontal="center" vertical="center"/>
    </xf>
    <xf numFmtId="2" fontId="59" fillId="33" borderId="26" xfId="124" applyNumberFormat="1" applyFont="1" applyFill="1" applyBorder="1" applyAlignment="1">
      <alignment horizontal="center" vertical="center"/>
    </xf>
    <xf numFmtId="10" fontId="20" fillId="0" borderId="93" xfId="73" applyNumberFormat="1" applyFont="1" applyFill="1" applyBorder="1" applyAlignment="1">
      <alignment horizontal="center" vertical="center"/>
    </xf>
    <xf numFmtId="10" fontId="20" fillId="0" borderId="94" xfId="73" applyNumberFormat="1" applyFont="1" applyFill="1" applyBorder="1" applyAlignment="1">
      <alignment horizontal="center" vertical="center"/>
    </xf>
    <xf numFmtId="4" fontId="11" fillId="0" borderId="187" xfId="73" applyNumberFormat="1" applyFont="1" applyFill="1" applyBorder="1" applyAlignment="1">
      <alignment horizontal="center" vertical="center"/>
    </xf>
    <xf numFmtId="4" fontId="11" fillId="0" borderId="188" xfId="73" applyNumberFormat="1" applyFont="1" applyFill="1" applyBorder="1" applyAlignment="1">
      <alignment horizontal="center" vertical="center"/>
    </xf>
    <xf numFmtId="4" fontId="11" fillId="0" borderId="119" xfId="73" applyNumberFormat="1" applyFont="1" applyFill="1" applyBorder="1" applyAlignment="1">
      <alignment horizontal="center" vertical="center"/>
    </xf>
    <xf numFmtId="4" fontId="11" fillId="0" borderId="120" xfId="73" applyNumberFormat="1" applyFont="1" applyFill="1" applyBorder="1" applyAlignment="1">
      <alignment horizontal="center" vertical="center"/>
    </xf>
    <xf numFmtId="2" fontId="59" fillId="33" borderId="14" xfId="124" applyNumberFormat="1" applyFont="1" applyFill="1" applyBorder="1" applyAlignment="1">
      <alignment horizontal="center" vertical="center"/>
    </xf>
    <xf numFmtId="2" fontId="59" fillId="33" borderId="12" xfId="124" applyNumberFormat="1" applyFont="1" applyFill="1" applyBorder="1" applyAlignment="1">
      <alignment horizontal="center" vertical="center"/>
    </xf>
    <xf numFmtId="2" fontId="59" fillId="33" borderId="25" xfId="124" applyNumberFormat="1" applyFont="1" applyFill="1" applyBorder="1" applyAlignment="1">
      <alignment horizontal="center" vertical="center"/>
    </xf>
    <xf numFmtId="0" fontId="83" fillId="32" borderId="14" xfId="124" applyFont="1" applyFill="1" applyBorder="1" applyAlignment="1">
      <alignment horizontal="center" vertical="center"/>
    </xf>
    <xf numFmtId="0" fontId="83" fillId="32" borderId="13" xfId="124" applyFont="1" applyFill="1" applyBorder="1" applyAlignment="1">
      <alignment horizontal="center" vertical="center"/>
    </xf>
    <xf numFmtId="0" fontId="83" fillId="32" borderId="12" xfId="124" applyFont="1" applyFill="1" applyBorder="1" applyAlignment="1">
      <alignment horizontal="center" vertical="center"/>
    </xf>
    <xf numFmtId="0" fontId="42" fillId="32" borderId="44" xfId="124" applyFont="1" applyFill="1" applyBorder="1" applyAlignment="1">
      <alignment horizontal="center" vertical="center"/>
    </xf>
    <xf numFmtId="0" fontId="42" fillId="32" borderId="0" xfId="124" applyFont="1" applyFill="1" applyBorder="1" applyAlignment="1">
      <alignment horizontal="center" vertical="center"/>
    </xf>
    <xf numFmtId="0" fontId="42" fillId="32" borderId="43" xfId="124" applyFont="1" applyFill="1" applyBorder="1" applyAlignment="1">
      <alignment horizontal="center" vertical="center"/>
    </xf>
    <xf numFmtId="10" fontId="20" fillId="0" borderId="93" xfId="109" applyNumberFormat="1" applyFont="1" applyFill="1" applyBorder="1" applyAlignment="1">
      <alignment horizontal="center" vertical="center"/>
    </xf>
    <xf numFmtId="10" fontId="20" fillId="0" borderId="94" xfId="109" applyNumberFormat="1" applyFont="1" applyFill="1" applyBorder="1" applyAlignment="1">
      <alignment horizontal="center" vertical="center"/>
    </xf>
    <xf numFmtId="0" fontId="58" fillId="36" borderId="14" xfId="73" applyFont="1" applyFill="1" applyBorder="1" applyAlignment="1">
      <alignment horizontal="center" vertical="center"/>
    </xf>
    <xf numFmtId="0" fontId="58" fillId="36" borderId="27" xfId="73" applyFont="1" applyFill="1" applyBorder="1" applyAlignment="1">
      <alignment horizontal="center" vertical="center"/>
    </xf>
    <xf numFmtId="0" fontId="58" fillId="36" borderId="80" xfId="73" applyFont="1" applyFill="1" applyBorder="1" applyAlignment="1">
      <alignment horizontal="center" vertical="center"/>
    </xf>
    <xf numFmtId="0" fontId="58" fillId="36" borderId="82" xfId="73" applyFont="1" applyFill="1" applyBorder="1" applyAlignment="1">
      <alignment horizontal="center" vertical="center"/>
    </xf>
    <xf numFmtId="0" fontId="58" fillId="36" borderId="81" xfId="73" applyFont="1" applyFill="1" applyBorder="1" applyAlignment="1">
      <alignment horizontal="center" vertical="center"/>
    </xf>
    <xf numFmtId="0" fontId="58" fillId="36" borderId="48" xfId="73" applyFont="1" applyFill="1" applyBorder="1" applyAlignment="1">
      <alignment horizontal="center" vertical="center"/>
    </xf>
    <xf numFmtId="0" fontId="66" fillId="32" borderId="11" xfId="124" applyFont="1" applyFill="1" applyBorder="1" applyAlignment="1">
      <alignment horizontal="center"/>
    </xf>
    <xf numFmtId="0" fontId="66" fillId="32" borderId="24" xfId="124" applyFont="1" applyFill="1" applyBorder="1" applyAlignment="1">
      <alignment horizontal="center"/>
    </xf>
    <xf numFmtId="0" fontId="58" fillId="36" borderId="67" xfId="73" applyFont="1" applyFill="1" applyBorder="1" applyAlignment="1">
      <alignment horizontal="center" vertical="center"/>
    </xf>
    <xf numFmtId="0" fontId="58" fillId="36" borderId="83" xfId="73" applyFont="1" applyFill="1" applyBorder="1" applyAlignment="1">
      <alignment horizontal="center" vertical="center"/>
    </xf>
    <xf numFmtId="0" fontId="58" fillId="36" borderId="84" xfId="73" applyFont="1" applyFill="1" applyBorder="1" applyAlignment="1">
      <alignment horizontal="center" vertical="center"/>
    </xf>
    <xf numFmtId="0" fontId="58" fillId="36" borderId="49" xfId="73" applyFont="1" applyFill="1" applyBorder="1" applyAlignment="1">
      <alignment horizontal="center" vertical="center"/>
    </xf>
    <xf numFmtId="10" fontId="20" fillId="0" borderId="87" xfId="73" applyNumberFormat="1" applyFont="1" applyFill="1" applyBorder="1" applyAlignment="1">
      <alignment horizontal="center" vertical="center"/>
    </xf>
    <xf numFmtId="10" fontId="20" fillId="0" borderId="88" xfId="73" applyNumberFormat="1" applyFont="1" applyFill="1" applyBorder="1" applyAlignment="1">
      <alignment horizontal="center" vertical="center"/>
    </xf>
    <xf numFmtId="0" fontId="0" fillId="0" borderId="86" xfId="73" applyFont="1" applyBorder="1" applyAlignment="1">
      <alignment horizontal="left" vertical="top" wrapText="1"/>
    </xf>
    <xf numFmtId="0" fontId="0" fillId="0" borderId="90" xfId="73" applyFont="1" applyBorder="1" applyAlignment="1">
      <alignment horizontal="left" vertical="top" wrapText="1"/>
    </xf>
    <xf numFmtId="0" fontId="13" fillId="37" borderId="4" xfId="2" applyFont="1" applyFill="1" applyBorder="1" applyAlignment="1">
      <alignment horizontal="right" vertical="center"/>
    </xf>
    <xf numFmtId="0" fontId="13" fillId="37" borderId="3" xfId="2" applyFont="1" applyFill="1" applyBorder="1" applyAlignment="1">
      <alignment horizontal="right" vertical="center"/>
    </xf>
    <xf numFmtId="0" fontId="13" fillId="37" borderId="2" xfId="2" applyFont="1" applyFill="1" applyBorder="1" applyAlignment="1">
      <alignment horizontal="right" vertical="center"/>
    </xf>
    <xf numFmtId="0" fontId="12" fillId="0" borderId="17" xfId="2" applyNumberFormat="1" applyFont="1" applyBorder="1" applyAlignment="1">
      <alignment horizontal="right" vertical="center"/>
    </xf>
    <xf numFmtId="0" fontId="12" fillId="0" borderId="16" xfId="2" applyNumberFormat="1" applyFont="1" applyBorder="1" applyAlignment="1">
      <alignment horizontal="right" vertical="center"/>
    </xf>
    <xf numFmtId="0" fontId="12" fillId="0" borderId="23" xfId="2" applyNumberFormat="1" applyFont="1" applyBorder="1" applyAlignment="1">
      <alignment horizontal="right" vertical="center"/>
    </xf>
    <xf numFmtId="0" fontId="12" fillId="0" borderId="30" xfId="2" applyNumberFormat="1" applyFont="1" applyBorder="1" applyAlignment="1">
      <alignment horizontal="right" vertical="center"/>
    </xf>
    <xf numFmtId="0" fontId="12" fillId="0" borderId="29" xfId="2" applyNumberFormat="1" applyFont="1" applyBorder="1" applyAlignment="1">
      <alignment horizontal="right" vertical="center"/>
    </xf>
    <xf numFmtId="0" fontId="12" fillId="0" borderId="28" xfId="2" applyNumberFormat="1" applyFont="1" applyBorder="1" applyAlignment="1">
      <alignment horizontal="right" vertical="center"/>
    </xf>
    <xf numFmtId="0" fontId="12" fillId="6" borderId="17" xfId="2" applyNumberFormat="1" applyFont="1" applyFill="1" applyBorder="1" applyAlignment="1">
      <alignment horizontal="right" vertical="center"/>
    </xf>
    <xf numFmtId="0" fontId="12" fillId="6" borderId="16" xfId="2" applyNumberFormat="1" applyFont="1" applyFill="1" applyBorder="1" applyAlignment="1">
      <alignment horizontal="right" vertical="center"/>
    </xf>
    <xf numFmtId="0" fontId="12" fillId="6" borderId="23" xfId="2" applyNumberFormat="1" applyFont="1" applyFill="1" applyBorder="1" applyAlignment="1">
      <alignment horizontal="right" vertical="center"/>
    </xf>
    <xf numFmtId="0" fontId="12" fillId="0" borderId="19" xfId="2" applyFont="1" applyBorder="1" applyAlignment="1">
      <alignment horizontal="right" vertical="center"/>
    </xf>
    <xf numFmtId="0" fontId="12" fillId="0" borderId="18" xfId="2" applyFont="1" applyBorder="1" applyAlignment="1">
      <alignment horizontal="right" vertical="center"/>
    </xf>
    <xf numFmtId="0" fontId="12" fillId="0" borderId="9" xfId="2" applyFont="1" applyBorder="1" applyAlignment="1">
      <alignment horizontal="right" vertical="center"/>
    </xf>
    <xf numFmtId="0" fontId="12" fillId="0" borderId="8" xfId="2" applyFont="1" applyBorder="1" applyAlignment="1">
      <alignment horizontal="right" vertical="center"/>
    </xf>
    <xf numFmtId="0" fontId="84" fillId="33" borderId="14" xfId="2" applyFont="1" applyFill="1" applyBorder="1" applyAlignment="1">
      <alignment horizontal="center" vertical="center"/>
    </xf>
    <xf numFmtId="0" fontId="84" fillId="33" borderId="13" xfId="2" applyFont="1" applyFill="1" applyBorder="1" applyAlignment="1">
      <alignment horizontal="center" vertical="center"/>
    </xf>
    <xf numFmtId="0" fontId="84" fillId="33" borderId="12" xfId="2" applyFont="1" applyFill="1" applyBorder="1" applyAlignment="1">
      <alignment horizontal="center" vertical="center"/>
    </xf>
    <xf numFmtId="0" fontId="84" fillId="33" borderId="44" xfId="2" applyFont="1" applyFill="1" applyBorder="1" applyAlignment="1">
      <alignment horizontal="center" vertical="center"/>
    </xf>
    <xf numFmtId="0" fontId="84" fillId="33" borderId="0" xfId="2" applyFont="1" applyFill="1" applyBorder="1" applyAlignment="1">
      <alignment horizontal="center" vertical="center"/>
    </xf>
    <xf numFmtId="0" fontId="84" fillId="33" borderId="43" xfId="2" applyFont="1" applyFill="1" applyBorder="1" applyAlignment="1">
      <alignment horizontal="center" vertical="center"/>
    </xf>
    <xf numFmtId="0" fontId="42" fillId="33" borderId="44" xfId="2" applyFont="1" applyFill="1" applyBorder="1" applyAlignment="1">
      <alignment horizontal="center" vertical="center"/>
    </xf>
    <xf numFmtId="0" fontId="42" fillId="33" borderId="0" xfId="2" applyFont="1" applyFill="1" applyBorder="1" applyAlignment="1">
      <alignment horizontal="center" vertical="center"/>
    </xf>
    <xf numFmtId="0" fontId="42" fillId="33" borderId="43" xfId="2" applyFont="1" applyFill="1" applyBorder="1" applyAlignment="1">
      <alignment horizontal="center" vertical="center"/>
    </xf>
    <xf numFmtId="0" fontId="12" fillId="33" borderId="11" xfId="2" applyFont="1" applyFill="1" applyBorder="1" applyAlignment="1">
      <alignment horizontal="center" vertical="center"/>
    </xf>
    <xf numFmtId="0" fontId="12" fillId="33" borderId="24" xfId="2" applyFont="1" applyFill="1" applyBorder="1" applyAlignment="1">
      <alignment horizontal="center" vertical="center"/>
    </xf>
    <xf numFmtId="0" fontId="12" fillId="33" borderId="14" xfId="2" applyFont="1" applyFill="1" applyBorder="1" applyAlignment="1">
      <alignment horizontal="center" vertical="center" wrapText="1"/>
    </xf>
    <xf numFmtId="0" fontId="12" fillId="33" borderId="13" xfId="2" applyFont="1" applyFill="1" applyBorder="1" applyAlignment="1">
      <alignment horizontal="center" vertical="center" wrapText="1"/>
    </xf>
    <xf numFmtId="0" fontId="12" fillId="33" borderId="12" xfId="2" applyFont="1" applyFill="1" applyBorder="1" applyAlignment="1">
      <alignment horizontal="center" vertical="center" wrapText="1"/>
    </xf>
    <xf numFmtId="0" fontId="12" fillId="33" borderId="27" xfId="2" applyFont="1" applyFill="1" applyBorder="1" applyAlignment="1">
      <alignment horizontal="center" vertical="center" wrapText="1"/>
    </xf>
    <xf numFmtId="0" fontId="12" fillId="33" borderId="26" xfId="2" applyFont="1" applyFill="1" applyBorder="1" applyAlignment="1">
      <alignment horizontal="center" vertical="center" wrapText="1"/>
    </xf>
    <xf numFmtId="0" fontId="12" fillId="33" borderId="25" xfId="2" applyFont="1" applyFill="1" applyBorder="1" applyAlignment="1">
      <alignment horizontal="center" vertical="center" wrapText="1"/>
    </xf>
    <xf numFmtId="166" fontId="12" fillId="33" borderId="11" xfId="3" applyNumberFormat="1" applyFont="1" applyFill="1" applyBorder="1" applyAlignment="1" applyProtection="1">
      <alignment horizontal="center" vertical="center" wrapText="1"/>
    </xf>
    <xf numFmtId="166" fontId="12" fillId="33" borderId="24" xfId="3" applyNumberFormat="1" applyFont="1" applyFill="1" applyBorder="1" applyAlignment="1" applyProtection="1">
      <alignment horizontal="center" vertical="center" wrapText="1"/>
    </xf>
    <xf numFmtId="0" fontId="12" fillId="0" borderId="17" xfId="2" applyNumberFormat="1" applyFont="1" applyBorder="1" applyAlignment="1">
      <alignment horizontal="center" vertical="center"/>
    </xf>
    <xf numFmtId="0" fontId="12" fillId="0" borderId="16" xfId="2" applyNumberFormat="1" applyFont="1" applyBorder="1" applyAlignment="1">
      <alignment horizontal="center" vertical="center"/>
    </xf>
    <xf numFmtId="0" fontId="12" fillId="0" borderId="15" xfId="2" applyNumberFormat="1" applyFont="1" applyBorder="1" applyAlignment="1">
      <alignment horizontal="center" vertical="center"/>
    </xf>
    <xf numFmtId="0" fontId="13" fillId="37" borderId="4" xfId="2" applyFont="1" applyFill="1" applyBorder="1" applyAlignment="1">
      <alignment horizontal="center" vertical="center"/>
    </xf>
    <xf numFmtId="0" fontId="13" fillId="37" borderId="3" xfId="2" applyFont="1" applyFill="1" applyBorder="1" applyAlignment="1">
      <alignment horizontal="center" vertical="center"/>
    </xf>
    <xf numFmtId="165" fontId="12" fillId="33" borderId="17" xfId="3" applyFont="1" applyFill="1" applyBorder="1" applyAlignment="1" applyProtection="1">
      <alignment horizontal="center" vertical="center"/>
    </xf>
    <xf numFmtId="165" fontId="12" fillId="33" borderId="23" xfId="3" applyFont="1" applyFill="1" applyBorder="1" applyAlignment="1" applyProtection="1">
      <alignment horizontal="center" vertical="center"/>
    </xf>
    <xf numFmtId="0" fontId="12" fillId="0" borderId="30" xfId="2" applyNumberFormat="1" applyFont="1" applyBorder="1" applyAlignment="1">
      <alignment horizontal="center" vertical="center"/>
    </xf>
    <xf numFmtId="0" fontId="12" fillId="0" borderId="29" xfId="2" applyNumberFormat="1" applyFont="1" applyBorder="1" applyAlignment="1">
      <alignment horizontal="center" vertical="center"/>
    </xf>
    <xf numFmtId="40" fontId="12" fillId="33" borderId="11" xfId="2" applyNumberFormat="1" applyFont="1" applyFill="1" applyBorder="1" applyAlignment="1">
      <alignment horizontal="center" vertical="center" wrapText="1"/>
    </xf>
    <xf numFmtId="40" fontId="12" fillId="33" borderId="24" xfId="2" applyNumberFormat="1" applyFont="1" applyFill="1" applyBorder="1" applyAlignment="1">
      <alignment horizontal="center" vertical="center" wrapText="1"/>
    </xf>
    <xf numFmtId="0" fontId="17" fillId="33" borderId="14" xfId="2" applyFont="1" applyFill="1" applyBorder="1" applyAlignment="1">
      <alignment horizontal="center" vertical="center"/>
    </xf>
    <xf numFmtId="0" fontId="17" fillId="33" borderId="13" xfId="2" applyFont="1" applyFill="1" applyBorder="1" applyAlignment="1">
      <alignment horizontal="center" vertical="center"/>
    </xf>
    <xf numFmtId="0" fontId="17" fillId="33" borderId="12" xfId="2" applyFont="1" applyFill="1" applyBorder="1" applyAlignment="1">
      <alignment horizontal="center" vertical="center"/>
    </xf>
    <xf numFmtId="0" fontId="17" fillId="33" borderId="44" xfId="2" applyFont="1" applyFill="1" applyBorder="1" applyAlignment="1">
      <alignment horizontal="center" vertical="center"/>
    </xf>
    <xf numFmtId="0" fontId="17" fillId="33" borderId="0" xfId="2" applyFont="1" applyFill="1" applyBorder="1" applyAlignment="1">
      <alignment horizontal="center" vertical="center"/>
    </xf>
    <xf numFmtId="0" fontId="17" fillId="33" borderId="43" xfId="2" applyFont="1" applyFill="1" applyBorder="1" applyAlignment="1">
      <alignment horizontal="center" vertical="center"/>
    </xf>
    <xf numFmtId="0" fontId="17" fillId="33" borderId="27" xfId="2" applyFont="1" applyFill="1" applyBorder="1" applyAlignment="1">
      <alignment horizontal="center" vertical="center"/>
    </xf>
    <xf numFmtId="0" fontId="17" fillId="33" borderId="26" xfId="2" applyFont="1" applyFill="1" applyBorder="1" applyAlignment="1">
      <alignment horizontal="center" vertical="center"/>
    </xf>
    <xf numFmtId="0" fontId="17" fillId="33" borderId="25" xfId="2" applyFont="1" applyFill="1" applyBorder="1" applyAlignment="1">
      <alignment horizontal="center" vertical="center"/>
    </xf>
    <xf numFmtId="0" fontId="12" fillId="33" borderId="11" xfId="2" applyFont="1" applyFill="1" applyBorder="1" applyAlignment="1">
      <alignment horizontal="center" vertical="center" wrapText="1"/>
    </xf>
    <xf numFmtId="0" fontId="12" fillId="33" borderId="24" xfId="2" applyFont="1" applyFill="1" applyBorder="1" applyAlignment="1">
      <alignment horizontal="center" vertical="center" wrapText="1"/>
    </xf>
    <xf numFmtId="0" fontId="12" fillId="33" borderId="14" xfId="2" applyFont="1" applyFill="1" applyBorder="1" applyAlignment="1">
      <alignment horizontal="center" vertical="center"/>
    </xf>
    <xf numFmtId="0" fontId="12" fillId="33" borderId="13" xfId="2" applyFont="1" applyFill="1" applyBorder="1" applyAlignment="1">
      <alignment horizontal="center" vertical="center"/>
    </xf>
    <xf numFmtId="0" fontId="12" fillId="33" borderId="47" xfId="2" applyFont="1" applyFill="1" applyBorder="1" applyAlignment="1">
      <alignment horizontal="center" vertical="center"/>
    </xf>
    <xf numFmtId="0" fontId="12" fillId="33" borderId="27" xfId="2" applyFont="1" applyFill="1" applyBorder="1" applyAlignment="1">
      <alignment horizontal="center" vertical="center"/>
    </xf>
    <xf numFmtId="0" fontId="12" fillId="33" borderId="26" xfId="2" applyFont="1" applyFill="1" applyBorder="1" applyAlignment="1">
      <alignment horizontal="center" vertical="center"/>
    </xf>
    <xf numFmtId="0" fontId="12" fillId="33" borderId="40" xfId="2" applyFont="1" applyFill="1" applyBorder="1" applyAlignment="1">
      <alignment horizontal="center" vertical="center"/>
    </xf>
    <xf numFmtId="0" fontId="12" fillId="33" borderId="54" xfId="2" applyFont="1" applyFill="1" applyBorder="1" applyAlignment="1">
      <alignment horizontal="center" vertical="center"/>
    </xf>
    <xf numFmtId="0" fontId="12" fillId="33" borderId="41" xfId="2" applyFont="1" applyFill="1" applyBorder="1" applyAlignment="1">
      <alignment horizontal="center" vertical="center"/>
    </xf>
    <xf numFmtId="40" fontId="12" fillId="33" borderId="42" xfId="2" applyNumberFormat="1" applyFont="1" applyFill="1" applyBorder="1" applyAlignment="1">
      <alignment horizontal="center" vertical="center"/>
    </xf>
    <xf numFmtId="40" fontId="12" fillId="33" borderId="55" xfId="2" applyNumberFormat="1" applyFont="1" applyFill="1" applyBorder="1" applyAlignment="1">
      <alignment horizontal="center" vertical="center"/>
    </xf>
    <xf numFmtId="0" fontId="42" fillId="34" borderId="4" xfId="0" applyFont="1" applyFill="1" applyBorder="1" applyAlignment="1">
      <alignment horizontal="center"/>
    </xf>
    <xf numFmtId="0" fontId="42" fillId="34" borderId="3" xfId="0" applyFont="1" applyFill="1" applyBorder="1" applyAlignment="1">
      <alignment horizontal="center"/>
    </xf>
    <xf numFmtId="0" fontId="42" fillId="34" borderId="85" xfId="0" applyFont="1" applyFill="1" applyBorder="1" applyAlignment="1">
      <alignment horizontal="center"/>
    </xf>
    <xf numFmtId="0" fontId="42" fillId="33" borderId="14" xfId="0" applyFont="1" applyFill="1" applyBorder="1" applyAlignment="1">
      <alignment horizontal="center"/>
    </xf>
    <xf numFmtId="0" fontId="42" fillId="33" borderId="13" xfId="0" applyFont="1" applyFill="1" applyBorder="1" applyAlignment="1">
      <alignment horizontal="center"/>
    </xf>
    <xf numFmtId="0" fontId="42" fillId="33" borderId="12" xfId="0" applyFont="1" applyFill="1" applyBorder="1" applyAlignment="1">
      <alignment horizontal="center"/>
    </xf>
    <xf numFmtId="0" fontId="14" fillId="4" borderId="44" xfId="0" applyFont="1" applyFill="1" applyBorder="1" applyAlignment="1">
      <alignment horizontal="left" wrapText="1"/>
    </xf>
    <xf numFmtId="0" fontId="14" fillId="4" borderId="0" xfId="0" applyFont="1" applyFill="1" applyBorder="1" applyAlignment="1">
      <alignment horizontal="left" wrapText="1"/>
    </xf>
    <xf numFmtId="0" fontId="14" fillId="4" borderId="101" xfId="0" applyFont="1" applyFill="1" applyBorder="1" applyAlignment="1">
      <alignment horizontal="left" wrapText="1"/>
    </xf>
    <xf numFmtId="0" fontId="14" fillId="4" borderId="44" xfId="0" applyFont="1" applyFill="1" applyBorder="1" applyAlignment="1"/>
    <xf numFmtId="0" fontId="14" fillId="4" borderId="0" xfId="0" applyFont="1" applyFill="1" applyBorder="1" applyAlignment="1"/>
    <xf numFmtId="0" fontId="14" fillId="4" borderId="101" xfId="0" applyFont="1" applyFill="1" applyBorder="1" applyAlignment="1"/>
    <xf numFmtId="0" fontId="43" fillId="23" borderId="190" xfId="0" applyFont="1" applyFill="1" applyBorder="1" applyAlignment="1">
      <alignment horizontal="center"/>
    </xf>
    <xf numFmtId="0" fontId="43" fillId="23" borderId="98" xfId="0" applyFont="1" applyFill="1" applyBorder="1" applyAlignment="1">
      <alignment horizontal="center"/>
    </xf>
    <xf numFmtId="0" fontId="43" fillId="23" borderId="110" xfId="0" applyFont="1" applyFill="1" applyBorder="1" applyAlignment="1">
      <alignment horizontal="center"/>
    </xf>
    <xf numFmtId="0" fontId="43" fillId="23" borderId="99" xfId="0" applyFont="1" applyFill="1" applyBorder="1" applyAlignment="1">
      <alignment horizontal="center"/>
    </xf>
    <xf numFmtId="0" fontId="14" fillId="4" borderId="38" xfId="0" applyFont="1" applyFill="1" applyBorder="1" applyAlignment="1">
      <alignment horizontal="left" wrapText="1"/>
    </xf>
    <xf numFmtId="0" fontId="14" fillId="4" borderId="37" xfId="0" applyFont="1" applyFill="1" applyBorder="1" applyAlignment="1">
      <alignment horizontal="left" wrapText="1"/>
    </xf>
    <xf numFmtId="0" fontId="14" fillId="4" borderId="111" xfId="0" applyFont="1" applyFill="1" applyBorder="1" applyAlignment="1">
      <alignment horizontal="left" wrapText="1"/>
    </xf>
    <xf numFmtId="0" fontId="89" fillId="33" borderId="14" xfId="0" applyFont="1" applyFill="1" applyBorder="1" applyAlignment="1">
      <alignment horizontal="center"/>
    </xf>
    <xf numFmtId="0" fontId="89" fillId="33" borderId="13" xfId="0" applyFont="1" applyFill="1" applyBorder="1" applyAlignment="1">
      <alignment horizontal="center"/>
    </xf>
    <xf numFmtId="0" fontId="89" fillId="33" borderId="12" xfId="0" applyFont="1" applyFill="1" applyBorder="1" applyAlignment="1">
      <alignment horizontal="center"/>
    </xf>
    <xf numFmtId="0" fontId="89" fillId="33" borderId="44" xfId="0" applyFont="1" applyFill="1" applyBorder="1" applyAlignment="1">
      <alignment horizontal="center"/>
    </xf>
    <xf numFmtId="0" fontId="89" fillId="33" borderId="0" xfId="0" applyFont="1" applyFill="1" applyBorder="1" applyAlignment="1">
      <alignment horizontal="center"/>
    </xf>
    <xf numFmtId="0" fontId="89" fillId="33" borderId="43" xfId="0" applyFont="1" applyFill="1" applyBorder="1" applyAlignment="1">
      <alignment horizontal="center"/>
    </xf>
    <xf numFmtId="0" fontId="0" fillId="0" borderId="46" xfId="2" applyNumberFormat="1" applyFont="1" applyFill="1" applyBorder="1" applyAlignment="1">
      <alignment horizontal="left" vertical="center"/>
    </xf>
    <xf numFmtId="0" fontId="85" fillId="33" borderId="44" xfId="2" applyFont="1" applyFill="1" applyBorder="1" applyAlignment="1">
      <alignment horizontal="center" vertical="center"/>
    </xf>
    <xf numFmtId="0" fontId="85" fillId="33" borderId="0" xfId="2" applyFont="1" applyFill="1" applyBorder="1" applyAlignment="1">
      <alignment horizontal="center" vertical="center"/>
    </xf>
    <xf numFmtId="0" fontId="85" fillId="33" borderId="43" xfId="2" applyFont="1" applyFill="1" applyBorder="1" applyAlignment="1">
      <alignment horizontal="center" vertical="center"/>
    </xf>
    <xf numFmtId="0" fontId="12" fillId="34" borderId="182" xfId="2" applyFont="1" applyFill="1" applyBorder="1" applyAlignment="1">
      <alignment horizontal="center" vertical="center"/>
    </xf>
    <xf numFmtId="0" fontId="12" fillId="34" borderId="146" xfId="2" applyFont="1" applyFill="1" applyBorder="1" applyAlignment="1">
      <alignment horizontal="center" vertical="center"/>
    </xf>
    <xf numFmtId="0" fontId="12" fillId="34" borderId="183" xfId="2" applyFont="1" applyFill="1" applyBorder="1" applyAlignment="1">
      <alignment horizontal="center" vertical="center"/>
    </xf>
    <xf numFmtId="0" fontId="12" fillId="34" borderId="147" xfId="2" applyFont="1" applyFill="1" applyBorder="1" applyAlignment="1">
      <alignment horizontal="center" vertical="center"/>
    </xf>
    <xf numFmtId="40" fontId="12" fillId="34" borderId="161" xfId="2" applyNumberFormat="1" applyFont="1" applyFill="1" applyBorder="1" applyAlignment="1">
      <alignment horizontal="center" vertical="center"/>
    </xf>
    <xf numFmtId="40" fontId="12" fillId="34" borderId="185" xfId="2" applyNumberFormat="1" applyFont="1" applyFill="1" applyBorder="1" applyAlignment="1">
      <alignment horizontal="center" vertical="center"/>
    </xf>
    <xf numFmtId="0" fontId="12" fillId="34" borderId="184" xfId="2" applyFont="1" applyFill="1" applyBorder="1" applyAlignment="1">
      <alignment horizontal="center" vertical="center"/>
    </xf>
    <xf numFmtId="0" fontId="12" fillId="34" borderId="41" xfId="2" applyFont="1" applyFill="1" applyBorder="1" applyAlignment="1">
      <alignment horizontal="center" vertical="center"/>
    </xf>
    <xf numFmtId="0" fontId="12" fillId="34" borderId="183" xfId="2" applyFont="1" applyFill="1" applyBorder="1" applyAlignment="1">
      <alignment horizontal="center" vertical="center" wrapText="1"/>
    </xf>
    <xf numFmtId="0" fontId="12" fillId="34" borderId="147" xfId="2" applyFont="1" applyFill="1" applyBorder="1" applyAlignment="1">
      <alignment horizontal="center" vertical="center" wrapText="1"/>
    </xf>
    <xf numFmtId="0" fontId="12" fillId="34" borderId="161" xfId="2" applyFont="1" applyFill="1" applyBorder="1" applyAlignment="1">
      <alignment horizontal="center" vertical="center" wrapText="1"/>
    </xf>
    <xf numFmtId="0" fontId="12" fillId="34" borderId="185" xfId="2" applyFont="1" applyFill="1" applyBorder="1" applyAlignment="1">
      <alignment horizontal="center" vertical="center" wrapText="1"/>
    </xf>
    <xf numFmtId="0" fontId="12" fillId="34" borderId="162" xfId="2" applyFont="1" applyFill="1" applyBorder="1" applyAlignment="1">
      <alignment horizontal="center" vertical="center" wrapText="1"/>
    </xf>
    <xf numFmtId="0" fontId="12" fillId="34" borderId="154" xfId="2" applyFont="1" applyFill="1" applyBorder="1" applyAlignment="1">
      <alignment horizontal="center" vertical="center" wrapText="1"/>
    </xf>
    <xf numFmtId="0" fontId="12" fillId="34" borderId="152" xfId="2" applyFont="1" applyFill="1" applyBorder="1" applyAlignment="1">
      <alignment horizontal="center" vertical="center" wrapText="1"/>
    </xf>
    <xf numFmtId="0" fontId="12" fillId="34" borderId="130" xfId="2" applyFont="1" applyFill="1" applyBorder="1" applyAlignment="1">
      <alignment horizontal="center" vertical="center" wrapText="1"/>
    </xf>
    <xf numFmtId="0" fontId="42" fillId="33" borderId="192" xfId="2" applyFont="1" applyFill="1" applyBorder="1" applyAlignment="1">
      <alignment horizontal="center" vertical="center"/>
    </xf>
    <xf numFmtId="0" fontId="42" fillId="33" borderId="193" xfId="2" applyFont="1" applyFill="1" applyBorder="1" applyAlignment="1">
      <alignment horizontal="center" vertical="center"/>
    </xf>
    <xf numFmtId="0" fontId="42" fillId="33" borderId="194" xfId="2" applyFont="1" applyFill="1" applyBorder="1" applyAlignment="1">
      <alignment horizontal="center" vertical="center"/>
    </xf>
    <xf numFmtId="0" fontId="12" fillId="34" borderId="52" xfId="2" applyFont="1" applyFill="1" applyBorder="1" applyAlignment="1">
      <alignment horizontal="center" vertical="center"/>
    </xf>
    <xf numFmtId="0" fontId="12" fillId="34" borderId="129" xfId="2" applyFont="1" applyFill="1" applyBorder="1" applyAlignment="1">
      <alignment horizontal="center" vertical="center"/>
    </xf>
    <xf numFmtId="0" fontId="12" fillId="34" borderId="45" xfId="2" applyFont="1" applyFill="1" applyBorder="1" applyAlignment="1">
      <alignment horizontal="center" vertical="center" wrapText="1"/>
    </xf>
    <xf numFmtId="0" fontId="12" fillId="34" borderId="72" xfId="2" applyFont="1" applyFill="1" applyBorder="1" applyAlignment="1">
      <alignment horizontal="center" vertical="center" wrapText="1"/>
    </xf>
    <xf numFmtId="0" fontId="12" fillId="34" borderId="45" xfId="2" applyFont="1" applyFill="1" applyBorder="1" applyAlignment="1">
      <alignment horizontal="center" vertical="center"/>
    </xf>
    <xf numFmtId="0" fontId="12" fillId="34" borderId="72" xfId="2" applyFont="1" applyFill="1" applyBorder="1" applyAlignment="1">
      <alignment horizontal="center" vertical="center"/>
    </xf>
    <xf numFmtId="0" fontId="12" fillId="34" borderId="33" xfId="2" applyFont="1" applyFill="1" applyBorder="1" applyAlignment="1">
      <alignment horizontal="center" vertical="center"/>
    </xf>
    <xf numFmtId="0" fontId="12" fillId="34" borderId="155" xfId="2" applyFont="1" applyFill="1" applyBorder="1" applyAlignment="1">
      <alignment horizontal="center" vertical="center"/>
    </xf>
    <xf numFmtId="40" fontId="12" fillId="34" borderId="31" xfId="2" applyNumberFormat="1" applyFont="1" applyFill="1" applyBorder="1" applyAlignment="1">
      <alignment horizontal="center" vertical="center"/>
    </xf>
    <xf numFmtId="40" fontId="12" fillId="34" borderId="45" xfId="2" applyNumberFormat="1" applyFont="1" applyFill="1" applyBorder="1" applyAlignment="1">
      <alignment horizontal="center" vertical="center"/>
    </xf>
    <xf numFmtId="0" fontId="12" fillId="34" borderId="31" xfId="2" applyFont="1" applyFill="1" applyBorder="1" applyAlignment="1">
      <alignment horizontal="center" vertical="center" wrapText="1"/>
    </xf>
    <xf numFmtId="0" fontId="68" fillId="0" borderId="44" xfId="73" applyFont="1" applyBorder="1" applyAlignment="1">
      <alignment horizontal="right" vertical="center"/>
    </xf>
    <xf numFmtId="0" fontId="68" fillId="0" borderId="0" xfId="73" applyFont="1" applyBorder="1" applyAlignment="1">
      <alignment horizontal="right" vertical="center"/>
    </xf>
    <xf numFmtId="10" fontId="68" fillId="0" borderId="0" xfId="73" applyNumberFormat="1" applyFont="1" applyBorder="1" applyAlignment="1">
      <alignment horizontal="center" vertical="center"/>
    </xf>
    <xf numFmtId="0" fontId="11" fillId="33" borderId="17" xfId="73" applyFont="1" applyFill="1" applyBorder="1" applyAlignment="1">
      <alignment horizontal="left" vertical="center" wrapText="1"/>
    </xf>
    <xf numFmtId="0" fontId="11" fillId="33" borderId="16" xfId="73" applyFont="1" applyFill="1" applyBorder="1" applyAlignment="1">
      <alignment horizontal="left" vertical="center"/>
    </xf>
    <xf numFmtId="0" fontId="11" fillId="33" borderId="15" xfId="73" applyFont="1" applyFill="1" applyBorder="1" applyAlignment="1">
      <alignment horizontal="left" vertical="center"/>
    </xf>
    <xf numFmtId="0" fontId="63" fillId="0" borderId="0" xfId="0" applyFont="1" applyBorder="1" applyAlignment="1">
      <alignment horizontal="center" wrapText="1"/>
    </xf>
    <xf numFmtId="0" fontId="0" fillId="33" borderId="14" xfId="0" applyFill="1" applyBorder="1" applyAlignment="1">
      <alignment horizontal="center"/>
    </xf>
    <xf numFmtId="0" fontId="0" fillId="33" borderId="13" xfId="0" applyFill="1" applyBorder="1" applyAlignment="1">
      <alignment horizontal="center"/>
    </xf>
    <xf numFmtId="0" fontId="0" fillId="33" borderId="12" xfId="0" applyFill="1" applyBorder="1" applyAlignment="1">
      <alignment horizontal="center"/>
    </xf>
    <xf numFmtId="0" fontId="64" fillId="33" borderId="44"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43" xfId="0" applyFont="1" applyFill="1" applyBorder="1" applyAlignment="1">
      <alignment horizontal="center" vertical="center"/>
    </xf>
    <xf numFmtId="0" fontId="65" fillId="33" borderId="26" xfId="0" applyFont="1" applyFill="1" applyBorder="1" applyAlignment="1">
      <alignment horizontal="left" vertical="center" wrapText="1"/>
    </xf>
    <xf numFmtId="0" fontId="65" fillId="33" borderId="26"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12" fillId="0" borderId="37" xfId="73" applyFont="1" applyBorder="1" applyAlignment="1">
      <alignment horizontal="right"/>
    </xf>
    <xf numFmtId="0" fontId="11" fillId="29" borderId="105" xfId="0" applyFont="1" applyFill="1" applyBorder="1" applyAlignment="1" applyProtection="1">
      <protection locked="0"/>
    </xf>
    <xf numFmtId="0" fontId="11" fillId="29" borderId="106" xfId="0" applyFont="1" applyFill="1" applyBorder="1" applyAlignment="1" applyProtection="1">
      <protection locked="0"/>
    </xf>
    <xf numFmtId="0" fontId="11" fillId="29" borderId="6" xfId="0" applyFont="1" applyFill="1" applyBorder="1" applyAlignment="1" applyProtection="1">
      <alignment horizontal="left"/>
      <protection locked="0"/>
    </xf>
    <xf numFmtId="0" fontId="11" fillId="29" borderId="106" xfId="0" applyFont="1" applyFill="1" applyBorder="1" applyAlignment="1" applyProtection="1">
      <alignment horizontal="left"/>
      <protection locked="0"/>
    </xf>
    <xf numFmtId="14" fontId="11" fillId="29" borderId="105" xfId="0" applyNumberFormat="1" applyFont="1" applyFill="1" applyBorder="1" applyAlignment="1" applyProtection="1">
      <alignment horizontal="left"/>
      <protection locked="0"/>
    </xf>
    <xf numFmtId="0" fontId="11" fillId="29" borderId="104" xfId="0" applyFont="1" applyFill="1" applyBorder="1" applyAlignment="1" applyProtection="1">
      <protection locked="0"/>
    </xf>
    <xf numFmtId="0" fontId="11" fillId="29" borderId="104" xfId="0" applyFont="1" applyFill="1" applyBorder="1" applyAlignment="1" applyProtection="1">
      <alignment horizontal="left"/>
      <protection locked="0"/>
    </xf>
    <xf numFmtId="0" fontId="0" fillId="29" borderId="104" xfId="0" applyFill="1" applyBorder="1" applyAlignment="1" applyProtection="1">
      <protection locked="0"/>
    </xf>
    <xf numFmtId="0" fontId="0" fillId="6" borderId="110" xfId="0" applyFill="1" applyBorder="1" applyAlignment="1" applyProtection="1">
      <alignment horizontal="center" vertical="center"/>
    </xf>
    <xf numFmtId="0" fontId="0" fillId="6" borderId="111"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101" xfId="0" applyFill="1" applyBorder="1" applyAlignment="1" applyProtection="1">
      <alignment horizontal="center" vertical="center"/>
    </xf>
    <xf numFmtId="0" fontId="0" fillId="6" borderId="99" xfId="0" applyFill="1" applyBorder="1" applyAlignment="1" applyProtection="1">
      <alignment horizontal="center" vertical="center"/>
    </xf>
    <xf numFmtId="0" fontId="0" fillId="6" borderId="140" xfId="0" applyFill="1" applyBorder="1" applyAlignment="1" applyProtection="1">
      <alignment horizontal="center" vertical="center"/>
    </xf>
    <xf numFmtId="0" fontId="11" fillId="6" borderId="105" xfId="0" applyFont="1" applyFill="1" applyBorder="1" applyAlignment="1" applyProtection="1">
      <alignment horizontal="left" indent="1"/>
    </xf>
    <xf numFmtId="0" fontId="11" fillId="6" borderId="6" xfId="0" applyFont="1" applyFill="1" applyBorder="1" applyAlignment="1" applyProtection="1">
      <alignment horizontal="left" indent="1"/>
    </xf>
    <xf numFmtId="0" fontId="11" fillId="6" borderId="106" xfId="0" applyFont="1" applyFill="1" applyBorder="1" applyAlignment="1" applyProtection="1">
      <alignment horizontal="left" indent="1"/>
    </xf>
    <xf numFmtId="0" fontId="11" fillId="0" borderId="0" xfId="0" applyFont="1" applyFill="1" applyAlignment="1" applyProtection="1">
      <alignment horizontal="left" wrapText="1"/>
    </xf>
    <xf numFmtId="0" fontId="70" fillId="30" borderId="17" xfId="0" applyFont="1" applyFill="1" applyBorder="1" applyAlignment="1" applyProtection="1">
      <alignment horizontal="center"/>
    </xf>
    <xf numFmtId="0" fontId="70" fillId="30" borderId="16" xfId="0" applyFont="1" applyFill="1" applyBorder="1" applyAlignment="1" applyProtection="1">
      <alignment horizontal="center"/>
    </xf>
    <xf numFmtId="0" fontId="70" fillId="30" borderId="15" xfId="0" applyFont="1" applyFill="1" applyBorder="1" applyAlignment="1" applyProtection="1">
      <alignment horizontal="center"/>
    </xf>
    <xf numFmtId="0" fontId="71" fillId="0" borderId="17" xfId="0" applyFont="1" applyFill="1" applyBorder="1" applyAlignment="1" applyProtection="1">
      <alignment horizontal="center" vertical="center" wrapText="1"/>
    </xf>
    <xf numFmtId="0" fontId="71" fillId="0" borderId="16" xfId="0" applyFont="1" applyFill="1" applyBorder="1" applyAlignment="1" applyProtection="1">
      <alignment horizontal="center" vertical="center" wrapText="1"/>
    </xf>
    <xf numFmtId="0" fontId="12" fillId="29" borderId="16" xfId="0" applyFont="1" applyFill="1" applyBorder="1" applyAlignment="1" applyProtection="1">
      <alignment horizontal="center" vertical="center" wrapText="1"/>
      <protection locked="0"/>
    </xf>
    <xf numFmtId="0" fontId="12" fillId="29" borderId="15" xfId="0" applyFont="1" applyFill="1" applyBorder="1" applyAlignment="1" applyProtection="1">
      <alignment horizontal="center" vertical="center" wrapText="1"/>
      <protection locked="0"/>
    </xf>
    <xf numFmtId="0" fontId="72" fillId="30" borderId="136" xfId="0" applyFont="1" applyFill="1" applyBorder="1" applyAlignment="1" applyProtection="1">
      <alignment horizontal="center"/>
    </xf>
    <xf numFmtId="0" fontId="72" fillId="30" borderId="137" xfId="0" applyFont="1" applyFill="1" applyBorder="1" applyAlignment="1" applyProtection="1">
      <alignment horizontal="center"/>
    </xf>
    <xf numFmtId="0" fontId="0" fillId="6" borderId="81" xfId="0" applyFill="1" applyBorder="1" applyAlignment="1" applyProtection="1">
      <alignment horizontal="left" indent="1"/>
    </xf>
    <xf numFmtId="0" fontId="0" fillId="6" borderId="48" xfId="0" applyFill="1" applyBorder="1" applyAlignment="1" applyProtection="1">
      <alignment horizontal="left" indent="1"/>
    </xf>
    <xf numFmtId="0" fontId="0" fillId="6" borderId="139" xfId="0" applyFill="1" applyBorder="1" applyAlignment="1" applyProtection="1">
      <alignment horizontal="left" indent="1"/>
    </xf>
    <xf numFmtId="0" fontId="0" fillId="6" borderId="105" xfId="0" applyFill="1" applyBorder="1" applyAlignment="1" applyProtection="1">
      <alignment horizontal="left" indent="1"/>
    </xf>
    <xf numFmtId="0" fontId="0" fillId="6" borderId="6" xfId="0" applyFill="1" applyBorder="1" applyAlignment="1" applyProtection="1">
      <alignment horizontal="left" indent="1"/>
    </xf>
    <xf numFmtId="0" fontId="0" fillId="6" borderId="106" xfId="0" applyFill="1" applyBorder="1" applyAlignment="1" applyProtection="1">
      <alignment horizontal="left" indent="1"/>
    </xf>
    <xf numFmtId="0" fontId="11" fillId="6" borderId="110" xfId="0" applyFont="1" applyFill="1" applyBorder="1" applyAlignment="1" applyProtection="1">
      <alignment horizontal="left" indent="1"/>
    </xf>
    <xf numFmtId="0" fontId="11" fillId="6" borderId="37" xfId="0" applyFont="1" applyFill="1" applyBorder="1" applyAlignment="1" applyProtection="1">
      <alignment horizontal="left" indent="1"/>
    </xf>
    <xf numFmtId="0" fontId="11" fillId="6" borderId="111" xfId="0" applyFont="1" applyFill="1" applyBorder="1" applyAlignment="1" applyProtection="1">
      <alignment horizontal="left" indent="1"/>
    </xf>
    <xf numFmtId="0" fontId="74" fillId="0" borderId="0" xfId="0" applyFont="1" applyAlignment="1">
      <alignment horizontal="left" vertical="center" wrapText="1"/>
    </xf>
    <xf numFmtId="0" fontId="72" fillId="31" borderId="17" xfId="0" applyFont="1" applyFill="1" applyBorder="1" applyAlignment="1" applyProtection="1">
      <alignment horizontal="center"/>
    </xf>
    <xf numFmtId="0" fontId="72" fillId="31" borderId="16" xfId="0" applyFont="1" applyFill="1" applyBorder="1" applyAlignment="1" applyProtection="1">
      <alignment horizontal="center"/>
    </xf>
    <xf numFmtId="0" fontId="72" fillId="31" borderId="15" xfId="0" applyFont="1" applyFill="1" applyBorder="1" applyAlignment="1" applyProtection="1">
      <alignment horizontal="center"/>
    </xf>
    <xf numFmtId="0" fontId="0" fillId="6" borderId="14" xfId="0" applyFill="1" applyBorder="1" applyAlignment="1" applyProtection="1">
      <alignment horizontal="center" vertical="center"/>
    </xf>
    <xf numFmtId="0" fontId="0" fillId="6" borderId="27" xfId="0" applyFill="1" applyBorder="1" applyAlignment="1" applyProtection="1">
      <alignment horizontal="center" vertical="center"/>
    </xf>
    <xf numFmtId="0" fontId="0" fillId="6" borderId="13" xfId="0" applyFill="1" applyBorder="1" applyAlignment="1" applyProtection="1">
      <alignment horizontal="center" vertical="center"/>
    </xf>
    <xf numFmtId="0" fontId="0" fillId="6" borderId="26" xfId="0" applyFill="1" applyBorder="1" applyAlignment="1" applyProtection="1">
      <alignment horizontal="center" vertical="center"/>
    </xf>
    <xf numFmtId="0" fontId="0" fillId="6" borderId="48" xfId="0" applyFill="1" applyBorder="1" applyAlignment="1" applyProtection="1">
      <alignment horizontal="center"/>
    </xf>
    <xf numFmtId="0" fontId="0" fillId="6" borderId="12" xfId="0" applyFill="1" applyBorder="1" applyAlignment="1" applyProtection="1">
      <alignment horizontal="left" vertical="center"/>
    </xf>
    <xf numFmtId="0" fontId="0" fillId="6" borderId="25" xfId="0" applyFill="1" applyBorder="1" applyAlignment="1" applyProtection="1">
      <alignment horizontal="left" vertical="center"/>
    </xf>
    <xf numFmtId="0" fontId="0" fillId="6" borderId="26" xfId="0" applyFill="1" applyBorder="1" applyAlignment="1" applyProtection="1">
      <alignment horizontal="center" vertical="top"/>
    </xf>
    <xf numFmtId="0" fontId="72" fillId="31" borderId="136" xfId="0" applyFont="1" applyFill="1" applyBorder="1" applyAlignment="1" applyProtection="1">
      <alignment horizontal="center"/>
    </xf>
    <xf numFmtId="0" fontId="72" fillId="31" borderId="137" xfId="0" applyFont="1" applyFill="1" applyBorder="1" applyAlignment="1" applyProtection="1">
      <alignment horizontal="center"/>
    </xf>
    <xf numFmtId="0" fontId="12" fillId="6" borderId="98" xfId="0" applyFont="1" applyFill="1" applyBorder="1" applyAlignment="1" applyProtection="1">
      <alignment horizontal="left" indent="2"/>
    </xf>
    <xf numFmtId="0" fontId="72" fillId="6" borderId="0" xfId="0" applyFont="1" applyFill="1" applyBorder="1" applyAlignment="1" applyProtection="1">
      <alignment horizontal="justify" vertical="top" wrapText="1"/>
    </xf>
    <xf numFmtId="0" fontId="73" fillId="6" borderId="0" xfId="0" applyFont="1" applyFill="1" applyBorder="1" applyAlignment="1" applyProtection="1">
      <alignment horizontal="justify" vertical="top" wrapText="1"/>
    </xf>
    <xf numFmtId="0" fontId="76" fillId="6" borderId="0" xfId="0" applyFont="1" applyFill="1" applyAlignment="1" applyProtection="1">
      <alignment horizontal="left" wrapText="1"/>
    </xf>
    <xf numFmtId="0" fontId="75" fillId="6" borderId="0" xfId="0" applyFont="1" applyFill="1" applyAlignment="1" applyProtection="1">
      <alignment horizontal="center"/>
    </xf>
    <xf numFmtId="0" fontId="76" fillId="6" borderId="0" xfId="0" applyFont="1" applyFill="1" applyAlignment="1" applyProtection="1">
      <alignment horizontal="justify" vertical="top" wrapText="1"/>
    </xf>
    <xf numFmtId="0" fontId="76" fillId="6" borderId="0" xfId="0" applyFont="1" applyFill="1" applyAlignment="1" applyProtection="1">
      <alignment horizontal="justify"/>
    </xf>
    <xf numFmtId="0" fontId="76" fillId="6" borderId="0" xfId="0" applyFont="1" applyFill="1" applyAlignment="1" applyProtection="1">
      <alignment horizontal="left"/>
    </xf>
    <xf numFmtId="0" fontId="80" fillId="31" borderId="17" xfId="0" applyFont="1" applyFill="1" applyBorder="1" applyAlignment="1" applyProtection="1">
      <alignment horizontal="center"/>
    </xf>
    <xf numFmtId="0" fontId="80" fillId="31" borderId="16" xfId="0" applyFont="1" applyFill="1" applyBorder="1" applyAlignment="1" applyProtection="1">
      <alignment horizontal="center"/>
    </xf>
    <xf numFmtId="0" fontId="80" fillId="31" borderId="15" xfId="0" applyFont="1" applyFill="1" applyBorder="1" applyAlignment="1" applyProtection="1">
      <alignment horizontal="center"/>
    </xf>
    <xf numFmtId="0" fontId="77" fillId="30" borderId="17" xfId="0" applyFont="1" applyFill="1" applyBorder="1" applyAlignment="1" applyProtection="1">
      <alignment horizontal="center"/>
    </xf>
    <xf numFmtId="0" fontId="77" fillId="30" borderId="16" xfId="0" applyFont="1" applyFill="1" applyBorder="1" applyAlignment="1" applyProtection="1">
      <alignment horizontal="center"/>
    </xf>
    <xf numFmtId="0" fontId="77" fillId="30" borderId="15" xfId="0" applyFont="1" applyFill="1" applyBorder="1" applyAlignment="1" applyProtection="1">
      <alignment horizontal="center"/>
    </xf>
    <xf numFmtId="0" fontId="78" fillId="0" borderId="17" xfId="0" applyFont="1" applyFill="1" applyBorder="1" applyAlignment="1" applyProtection="1">
      <alignment horizontal="center" vertical="center" wrapText="1"/>
    </xf>
    <xf numFmtId="0" fontId="78" fillId="0" borderId="16" xfId="0" applyFont="1" applyFill="1" applyBorder="1" applyAlignment="1" applyProtection="1">
      <alignment horizontal="center" vertical="center" wrapText="1"/>
    </xf>
    <xf numFmtId="0" fontId="79" fillId="6" borderId="16" xfId="0" applyFont="1" applyFill="1" applyBorder="1" applyAlignment="1" applyProtection="1">
      <alignment horizontal="center" vertical="center" wrapText="1"/>
    </xf>
    <xf numFmtId="0" fontId="79" fillId="6" borderId="15" xfId="0" applyFont="1" applyFill="1" applyBorder="1" applyAlignment="1" applyProtection="1">
      <alignment horizontal="center" vertical="center" wrapText="1"/>
    </xf>
    <xf numFmtId="0" fontId="80" fillId="30" borderId="136" xfId="0" applyFont="1" applyFill="1" applyBorder="1" applyAlignment="1" applyProtection="1">
      <alignment horizontal="center"/>
    </xf>
    <xf numFmtId="0" fontId="80" fillId="30" borderId="137" xfId="0" applyFont="1" applyFill="1" applyBorder="1" applyAlignment="1" applyProtection="1">
      <alignment horizontal="center"/>
    </xf>
    <xf numFmtId="0" fontId="31" fillId="6" borderId="99" xfId="0" applyFont="1" applyFill="1" applyBorder="1" applyAlignment="1" applyProtection="1">
      <alignment horizontal="left" indent="1"/>
    </xf>
    <xf numFmtId="0" fontId="31" fillId="6" borderId="140" xfId="0" applyFont="1" applyFill="1" applyBorder="1" applyAlignment="1" applyProtection="1">
      <alignment horizontal="left" indent="1"/>
    </xf>
    <xf numFmtId="0" fontId="31" fillId="6" borderId="105" xfId="0" applyFont="1" applyFill="1" applyBorder="1" applyAlignment="1" applyProtection="1">
      <alignment horizontal="left" indent="1"/>
    </xf>
    <xf numFmtId="0" fontId="31" fillId="6" borderId="106" xfId="0" applyFont="1" applyFill="1" applyBorder="1" applyAlignment="1" applyProtection="1">
      <alignment horizontal="left" indent="1"/>
    </xf>
    <xf numFmtId="0" fontId="31" fillId="6" borderId="110" xfId="0" applyFont="1" applyFill="1" applyBorder="1" applyAlignment="1" applyProtection="1">
      <alignment horizontal="center" vertical="center"/>
    </xf>
    <xf numFmtId="0" fontId="31" fillId="6" borderId="111" xfId="0" applyFont="1" applyFill="1" applyBorder="1" applyAlignment="1" applyProtection="1">
      <alignment horizontal="center" vertical="center"/>
    </xf>
    <xf numFmtId="0" fontId="31" fillId="6" borderId="102" xfId="0" applyFont="1" applyFill="1" applyBorder="1" applyAlignment="1" applyProtection="1">
      <alignment horizontal="center" vertical="center"/>
    </xf>
    <xf numFmtId="0" fontId="31" fillId="6" borderId="101" xfId="0" applyFont="1" applyFill="1" applyBorder="1" applyAlignment="1" applyProtection="1">
      <alignment horizontal="center" vertical="center"/>
    </xf>
    <xf numFmtId="0" fontId="31" fillId="6" borderId="99" xfId="0" applyFont="1" applyFill="1" applyBorder="1" applyAlignment="1" applyProtection="1">
      <alignment horizontal="center" vertical="center"/>
    </xf>
    <xf numFmtId="0" fontId="31" fillId="6" borderId="140" xfId="0" applyFont="1" applyFill="1" applyBorder="1" applyAlignment="1" applyProtection="1">
      <alignment horizontal="center" vertical="center"/>
    </xf>
    <xf numFmtId="0" fontId="31" fillId="6" borderId="14" xfId="0" applyFont="1" applyFill="1" applyBorder="1" applyAlignment="1" applyProtection="1">
      <alignment horizontal="center" vertical="center"/>
    </xf>
    <xf numFmtId="0" fontId="31" fillId="6" borderId="27" xfId="0" applyFont="1" applyFill="1" applyBorder="1" applyAlignment="1" applyProtection="1">
      <alignment horizontal="center" vertical="center"/>
    </xf>
    <xf numFmtId="0" fontId="31" fillId="6" borderId="13" xfId="0" applyFont="1" applyFill="1" applyBorder="1" applyAlignment="1" applyProtection="1">
      <alignment horizontal="center" vertical="center"/>
    </xf>
    <xf numFmtId="0" fontId="31" fillId="6" borderId="26" xfId="0" applyFont="1" applyFill="1" applyBorder="1" applyAlignment="1" applyProtection="1">
      <alignment horizontal="center" vertical="center"/>
    </xf>
    <xf numFmtId="0" fontId="31" fillId="6" borderId="12" xfId="0" applyFont="1" applyFill="1" applyBorder="1" applyAlignment="1" applyProtection="1">
      <alignment horizontal="left" vertical="center"/>
    </xf>
    <xf numFmtId="0" fontId="31" fillId="6" borderId="25" xfId="0" applyFont="1" applyFill="1" applyBorder="1" applyAlignment="1" applyProtection="1">
      <alignment horizontal="left" vertical="center"/>
    </xf>
    <xf numFmtId="0" fontId="80" fillId="31" borderId="136" xfId="0" applyFont="1" applyFill="1" applyBorder="1" applyAlignment="1" applyProtection="1">
      <alignment horizontal="center"/>
    </xf>
    <xf numFmtId="0" fontId="80" fillId="31" borderId="137" xfId="0" applyFont="1" applyFill="1" applyBorder="1" applyAlignment="1" applyProtection="1">
      <alignment horizontal="center"/>
    </xf>
    <xf numFmtId="0" fontId="80" fillId="31" borderId="138" xfId="0" applyFont="1" applyFill="1" applyBorder="1" applyAlignment="1" applyProtection="1">
      <alignment horizontal="center"/>
    </xf>
    <xf numFmtId="178" fontId="81" fillId="6" borderId="44" xfId="0" applyNumberFormat="1" applyFont="1" applyFill="1" applyBorder="1" applyAlignment="1" applyProtection="1">
      <alignment horizontal="center" wrapText="1"/>
    </xf>
    <xf numFmtId="178" fontId="81" fillId="6" borderId="0" xfId="0" applyNumberFormat="1" applyFont="1" applyFill="1" applyBorder="1" applyAlignment="1" applyProtection="1">
      <alignment horizontal="center" wrapText="1"/>
    </xf>
    <xf numFmtId="0" fontId="79" fillId="6" borderId="82" xfId="0" applyFont="1" applyFill="1" applyBorder="1" applyAlignment="1" applyProtection="1">
      <alignment horizontal="left" indent="2"/>
    </xf>
    <xf numFmtId="0" fontId="79" fillId="6" borderId="141" xfId="0" applyFont="1" applyFill="1" applyBorder="1" applyAlignment="1" applyProtection="1">
      <alignment horizontal="left" indent="2"/>
    </xf>
    <xf numFmtId="0" fontId="31" fillId="6" borderId="0" xfId="0" applyFont="1" applyFill="1" applyBorder="1" applyAlignment="1" applyProtection="1">
      <alignment horizontal="center"/>
    </xf>
    <xf numFmtId="14" fontId="31" fillId="6" borderId="0" xfId="0" applyNumberFormat="1" applyFont="1" applyFill="1" applyAlignment="1" applyProtection="1">
      <alignment horizontal="right"/>
    </xf>
    <xf numFmtId="0" fontId="81" fillId="6" borderId="0" xfId="0" applyFont="1" applyFill="1" applyBorder="1" applyAlignment="1" applyProtection="1">
      <alignment horizontal="justify" vertical="top" wrapText="1"/>
    </xf>
    <xf numFmtId="0" fontId="31" fillId="6" borderId="37" xfId="0" applyFont="1" applyFill="1" applyBorder="1" applyAlignment="1" applyProtection="1">
      <alignment horizontal="center"/>
    </xf>
  </cellXfs>
  <cellStyles count="417">
    <cellStyle name="20% - Ênfase1 2" xfId="12"/>
    <cellStyle name="20% - Ênfase2 2" xfId="13"/>
    <cellStyle name="20% - Ênfase3 2" xfId="14"/>
    <cellStyle name="20% - Ênfase4 2" xfId="15"/>
    <cellStyle name="20% - Ênfase5 2" xfId="16"/>
    <cellStyle name="20% - Ênfase6 2" xfId="17"/>
    <cellStyle name="40% - Ênfase1 2" xfId="18"/>
    <cellStyle name="40% - Ênfase2 2" xfId="19"/>
    <cellStyle name="40% - Ênfase3 2" xfId="20"/>
    <cellStyle name="40% - Ênfase4 2" xfId="21"/>
    <cellStyle name="40% - Ênfase5 2" xfId="22"/>
    <cellStyle name="40% - Ênfase6 2" xfId="23"/>
    <cellStyle name="60% - Ênfase1 2" xfId="24"/>
    <cellStyle name="60% - Ênfase2 2" xfId="25"/>
    <cellStyle name="60% - Ênfase3 2" xfId="26"/>
    <cellStyle name="60% - Ênfase4 2" xfId="27"/>
    <cellStyle name="60% - Ênfase5 2" xfId="28"/>
    <cellStyle name="60% - Ênfase6 2" xfId="29"/>
    <cellStyle name="Bom 2" xfId="30"/>
    <cellStyle name="Cálculo 2" xfId="31"/>
    <cellStyle name="Célula de Verificação 2" xfId="32"/>
    <cellStyle name="Célula Vinculada 2" xfId="33"/>
    <cellStyle name="Comma0" xfId="74"/>
    <cellStyle name="Currency0" xfId="75"/>
    <cellStyle name="Data" xfId="34"/>
    <cellStyle name="Date" xfId="76"/>
    <cellStyle name="Ênfase1 2" xfId="35"/>
    <cellStyle name="Ênfase2 2" xfId="36"/>
    <cellStyle name="Ênfase3 2" xfId="37"/>
    <cellStyle name="Ênfase4 2" xfId="38"/>
    <cellStyle name="Ênfase5 2" xfId="39"/>
    <cellStyle name="Ênfase6 2" xfId="40"/>
    <cellStyle name="Entrada 2" xfId="41"/>
    <cellStyle name="Euro" xfId="42"/>
    <cellStyle name="Excel Built-in Normal" xfId="128"/>
    <cellStyle name="Fixed" xfId="77"/>
    <cellStyle name="Fixo" xfId="43"/>
    <cellStyle name="Heading 1" xfId="78"/>
    <cellStyle name="Heading 2" xfId="79"/>
    <cellStyle name="Hyperlink 2" xfId="80"/>
    <cellStyle name="Incorreto 2" xfId="44"/>
    <cellStyle name="Moeda 2" xfId="81"/>
    <cellStyle name="Moeda 2 2" xfId="82"/>
    <cellStyle name="Moeda 3" xfId="83"/>
    <cellStyle name="Moeda 4" xfId="84"/>
    <cellStyle name="Moeda_RESUMO DA TABELA SINAPI" xfId="3"/>
    <cellStyle name="Moeda0" xfId="45"/>
    <cellStyle name="Neutra 2" xfId="46"/>
    <cellStyle name="Normal" xfId="0" builtinId="0"/>
    <cellStyle name="Normal 10" xfId="85"/>
    <cellStyle name="Normal 10 10" xfId="171"/>
    <cellStyle name="Normal 10 11" xfId="172"/>
    <cellStyle name="Normal 10 12" xfId="173"/>
    <cellStyle name="Normal 10 2" xfId="86"/>
    <cellStyle name="Normal 10 2 2" xfId="134"/>
    <cellStyle name="Normal 10 2 3" xfId="174"/>
    <cellStyle name="Normal 10 2 4" xfId="175"/>
    <cellStyle name="Normal 10 2 5" xfId="176"/>
    <cellStyle name="Normal 10 2 6" xfId="177"/>
    <cellStyle name="Normal 10 2 7" xfId="178"/>
    <cellStyle name="Normal 10 2 8" xfId="179"/>
    <cellStyle name="Normal 10 2 9" xfId="180"/>
    <cellStyle name="Normal 10 3" xfId="87"/>
    <cellStyle name="Normal 10 3 2" xfId="135"/>
    <cellStyle name="Normal 10 3 3" xfId="181"/>
    <cellStyle name="Normal 10 3 4" xfId="182"/>
    <cellStyle name="Normal 10 3 5" xfId="183"/>
    <cellStyle name="Normal 10 3 6" xfId="184"/>
    <cellStyle name="Normal 10 3 7" xfId="185"/>
    <cellStyle name="Normal 10 3 8" xfId="186"/>
    <cellStyle name="Normal 10 3 9" xfId="187"/>
    <cellStyle name="Normal 10 4" xfId="88"/>
    <cellStyle name="Normal 10 5" xfId="133"/>
    <cellStyle name="Normal 10 6" xfId="188"/>
    <cellStyle name="Normal 10 7" xfId="189"/>
    <cellStyle name="Normal 10 8" xfId="190"/>
    <cellStyle name="Normal 10 9" xfId="191"/>
    <cellStyle name="Normal 11" xfId="89"/>
    <cellStyle name="Normal 11 10" xfId="192"/>
    <cellStyle name="Normal 11 2" xfId="90"/>
    <cellStyle name="Normal 11 3" xfId="136"/>
    <cellStyle name="Normal 11 4" xfId="193"/>
    <cellStyle name="Normal 11 5" xfId="194"/>
    <cellStyle name="Normal 11 6" xfId="195"/>
    <cellStyle name="Normal 11 7" xfId="196"/>
    <cellStyle name="Normal 11 8" xfId="197"/>
    <cellStyle name="Normal 11 9" xfId="198"/>
    <cellStyle name="Normal 12" xfId="91"/>
    <cellStyle name="Normal 12 2" xfId="137"/>
    <cellStyle name="Normal 12 3" xfId="199"/>
    <cellStyle name="Normal 12 4" xfId="200"/>
    <cellStyle name="Normal 12 5" xfId="201"/>
    <cellStyle name="Normal 12 6" xfId="202"/>
    <cellStyle name="Normal 12 7" xfId="203"/>
    <cellStyle name="Normal 12 8" xfId="204"/>
    <cellStyle name="Normal 12 9" xfId="205"/>
    <cellStyle name="Normal 13" xfId="92"/>
    <cellStyle name="Normal 14" xfId="93"/>
    <cellStyle name="Normal 15" xfId="94"/>
    <cellStyle name="Normal 16" xfId="120"/>
    <cellStyle name="Normal 16 2" xfId="138"/>
    <cellStyle name="Normal 16 3" xfId="206"/>
    <cellStyle name="Normal 16 4" xfId="207"/>
    <cellStyle name="Normal 16 5" xfId="208"/>
    <cellStyle name="Normal 16 6" xfId="209"/>
    <cellStyle name="Normal 16 7" xfId="210"/>
    <cellStyle name="Normal 16 8" xfId="211"/>
    <cellStyle name="Normal 16 9" xfId="212"/>
    <cellStyle name="Normal 17" xfId="122"/>
    <cellStyle name="Normal 17 10" xfId="213"/>
    <cellStyle name="Normal 17 2" xfId="125"/>
    <cellStyle name="Normal 17 3" xfId="139"/>
    <cellStyle name="Normal 17 4" xfId="214"/>
    <cellStyle name="Normal 17 5" xfId="215"/>
    <cellStyle name="Normal 17 6" xfId="216"/>
    <cellStyle name="Normal 17 7" xfId="217"/>
    <cellStyle name="Normal 17 8" xfId="218"/>
    <cellStyle name="Normal 17 9" xfId="219"/>
    <cellStyle name="Normal 18" xfId="129"/>
    <cellStyle name="Normal 19" xfId="168"/>
    <cellStyle name="Normal 19 2" xfId="220"/>
    <cellStyle name="Normal 19 3" xfId="221"/>
    <cellStyle name="Normal 19 4" xfId="222"/>
    <cellStyle name="Normal 19 5" xfId="223"/>
    <cellStyle name="Normal 19 6" xfId="224"/>
    <cellStyle name="Normal 19 7" xfId="225"/>
    <cellStyle name="Normal 19 8" xfId="226"/>
    <cellStyle name="Normal 19 9" xfId="227"/>
    <cellStyle name="Normal 2" xfId="4"/>
    <cellStyle name="Normal 2 10" xfId="228"/>
    <cellStyle name="Normal 2 11" xfId="229"/>
    <cellStyle name="Normal 2 12" xfId="230"/>
    <cellStyle name="Normal 2 13" xfId="231"/>
    <cellStyle name="Normal 2 14" xfId="232"/>
    <cellStyle name="Normal 2 2" xfId="5"/>
    <cellStyle name="Normal 2 2 10" xfId="233"/>
    <cellStyle name="Normal 2 2 11" xfId="234"/>
    <cellStyle name="Normal 2 2 2" xfId="72"/>
    <cellStyle name="Normal 2 2 2 2" xfId="142"/>
    <cellStyle name="Normal 2 2 2 3" xfId="235"/>
    <cellStyle name="Normal 2 2 2 4" xfId="236"/>
    <cellStyle name="Normal 2 2 2 5" xfId="237"/>
    <cellStyle name="Normal 2 2 2 6" xfId="238"/>
    <cellStyle name="Normal 2 2 2 7" xfId="239"/>
    <cellStyle name="Normal 2 2 2 8" xfId="240"/>
    <cellStyle name="Normal 2 2 2 9" xfId="241"/>
    <cellStyle name="Normal 2 2 3" xfId="73"/>
    <cellStyle name="Normal 2 2 4" xfId="141"/>
    <cellStyle name="Normal 2 2 5" xfId="242"/>
    <cellStyle name="Normal 2 2 6" xfId="243"/>
    <cellStyle name="Normal 2 2 7" xfId="244"/>
    <cellStyle name="Normal 2 2 8" xfId="245"/>
    <cellStyle name="Normal 2 2 9" xfId="246"/>
    <cellStyle name="Normal 2 3" xfId="67"/>
    <cellStyle name="Normal 2 4" xfId="95"/>
    <cellStyle name="Normal 2 5" xfId="121"/>
    <cellStyle name="Normal 2 5 2" xfId="143"/>
    <cellStyle name="Normal 2 5 3" xfId="247"/>
    <cellStyle name="Normal 2 5 4" xfId="248"/>
    <cellStyle name="Normal 2 5 5" xfId="249"/>
    <cellStyle name="Normal 2 5 6" xfId="250"/>
    <cellStyle name="Normal 2 5 7" xfId="251"/>
    <cellStyle name="Normal 2 5 8" xfId="252"/>
    <cellStyle name="Normal 2 5 9" xfId="253"/>
    <cellStyle name="Normal 2 6" xfId="124"/>
    <cellStyle name="Normal 2 6 2" xfId="144"/>
    <cellStyle name="Normal 2 6 3" xfId="254"/>
    <cellStyle name="Normal 2 6 4" xfId="255"/>
    <cellStyle name="Normal 2 6 5" xfId="256"/>
    <cellStyle name="Normal 2 6 6" xfId="257"/>
    <cellStyle name="Normal 2 6 7" xfId="258"/>
    <cellStyle name="Normal 2 6 8" xfId="259"/>
    <cellStyle name="Normal 2 6 9" xfId="260"/>
    <cellStyle name="Normal 2 7" xfId="140"/>
    <cellStyle name="Normal 2 8" xfId="261"/>
    <cellStyle name="Normal 2 9" xfId="262"/>
    <cellStyle name="Normal 20" xfId="169"/>
    <cellStyle name="Normal 3" xfId="7"/>
    <cellStyle name="Normal 3 10" xfId="263"/>
    <cellStyle name="Normal 3 11" xfId="264"/>
    <cellStyle name="Normal 3 2" xfId="47"/>
    <cellStyle name="Normal 3 3" xfId="68"/>
    <cellStyle name="Normal 3 4" xfId="145"/>
    <cellStyle name="Normal 3 5" xfId="265"/>
    <cellStyle name="Normal 3 6" xfId="266"/>
    <cellStyle name="Normal 3 7" xfId="267"/>
    <cellStyle name="Normal 3 8" xfId="268"/>
    <cellStyle name="Normal 3 9" xfId="269"/>
    <cellStyle name="Normal 4" xfId="48"/>
    <cellStyle name="Normal 4 2" xfId="49"/>
    <cellStyle name="Normal 4 2 2" xfId="96"/>
    <cellStyle name="Normal 4 2 2 2" xfId="146"/>
    <cellStyle name="Normal 4 2 2 3" xfId="270"/>
    <cellStyle name="Normal 4 2 2 4" xfId="271"/>
    <cellStyle name="Normal 4 2 2 5" xfId="272"/>
    <cellStyle name="Normal 4 2 2 6" xfId="273"/>
    <cellStyle name="Normal 4 2 2 7" xfId="274"/>
    <cellStyle name="Normal 4 2 2 8" xfId="275"/>
    <cellStyle name="Normal 4 2 2 9" xfId="276"/>
    <cellStyle name="Normal 4 2 3" xfId="97"/>
    <cellStyle name="Normal 4 2 3 2" xfId="147"/>
    <cellStyle name="Normal 4 2 3 3" xfId="277"/>
    <cellStyle name="Normal 4 2 3 4" xfId="278"/>
    <cellStyle name="Normal 4 2 3 5" xfId="279"/>
    <cellStyle name="Normal 4 2 3 6" xfId="280"/>
    <cellStyle name="Normal 4 2 3 7" xfId="281"/>
    <cellStyle name="Normal 4 2 3 8" xfId="282"/>
    <cellStyle name="Normal 4 2 3 9" xfId="283"/>
    <cellStyle name="Normal 4 2 4" xfId="98"/>
    <cellStyle name="Normal 4 2 4 2" xfId="148"/>
    <cellStyle name="Normal 4 2 4 3" xfId="284"/>
    <cellStyle name="Normal 4 2 4 4" xfId="285"/>
    <cellStyle name="Normal 4 2 4 5" xfId="286"/>
    <cellStyle name="Normal 4 2 4 6" xfId="287"/>
    <cellStyle name="Normal 4 2 4 7" xfId="288"/>
    <cellStyle name="Normal 4 2 4 8" xfId="289"/>
    <cellStyle name="Normal 4 2 4 9" xfId="290"/>
    <cellStyle name="Normal 4 3" xfId="99"/>
    <cellStyle name="Normal 4 4" xfId="100"/>
    <cellStyle name="Normal 4 5" xfId="131"/>
    <cellStyle name="Normal 5" xfId="50"/>
    <cellStyle name="Normal 5 2" xfId="51"/>
    <cellStyle name="Normal 5 3" xfId="101"/>
    <cellStyle name="Normal 5 3 2" xfId="149"/>
    <cellStyle name="Normal 5 3 3" xfId="291"/>
    <cellStyle name="Normal 5 3 4" xfId="292"/>
    <cellStyle name="Normal 5 3 5" xfId="293"/>
    <cellStyle name="Normal 5 3 6" xfId="294"/>
    <cellStyle name="Normal 5 3 7" xfId="295"/>
    <cellStyle name="Normal 5 3 8" xfId="296"/>
    <cellStyle name="Normal 5 3 9" xfId="297"/>
    <cellStyle name="Normal 5 4" xfId="102"/>
    <cellStyle name="Normal 5 4 2" xfId="150"/>
    <cellStyle name="Normal 5 4 3" xfId="298"/>
    <cellStyle name="Normal 5 4 4" xfId="299"/>
    <cellStyle name="Normal 5 4 5" xfId="300"/>
    <cellStyle name="Normal 5 4 6" xfId="301"/>
    <cellStyle name="Normal 5 4 7" xfId="302"/>
    <cellStyle name="Normal 5 4 8" xfId="303"/>
    <cellStyle name="Normal 5 4 9" xfId="304"/>
    <cellStyle name="Normal 6" xfId="52"/>
    <cellStyle name="Normal 6 10" xfId="305"/>
    <cellStyle name="Normal 6 2" xfId="10"/>
    <cellStyle name="Normal 6 2 2" xfId="152"/>
    <cellStyle name="Normal 6 2 3" xfId="306"/>
    <cellStyle name="Normal 6 2 4" xfId="307"/>
    <cellStyle name="Normal 6 2 5" xfId="308"/>
    <cellStyle name="Normal 6 2 6" xfId="309"/>
    <cellStyle name="Normal 6 2 7" xfId="310"/>
    <cellStyle name="Normal 6 2 8" xfId="311"/>
    <cellStyle name="Normal 6 2 9" xfId="312"/>
    <cellStyle name="Normal 6 3" xfId="151"/>
    <cellStyle name="Normal 6 4" xfId="313"/>
    <cellStyle name="Normal 6 5" xfId="314"/>
    <cellStyle name="Normal 6 6" xfId="315"/>
    <cellStyle name="Normal 6 7" xfId="316"/>
    <cellStyle name="Normal 6 8" xfId="317"/>
    <cellStyle name="Normal 6 9" xfId="318"/>
    <cellStyle name="Normal 7" xfId="53"/>
    <cellStyle name="Normal 7 10" xfId="319"/>
    <cellStyle name="Normal 7 2" xfId="103"/>
    <cellStyle name="Normal 7 3" xfId="153"/>
    <cellStyle name="Normal 7 4" xfId="320"/>
    <cellStyle name="Normal 7 5" xfId="321"/>
    <cellStyle name="Normal 7 6" xfId="322"/>
    <cellStyle name="Normal 7 7" xfId="323"/>
    <cellStyle name="Normal 7 8" xfId="324"/>
    <cellStyle name="Normal 7 9" xfId="325"/>
    <cellStyle name="Normal 8" xfId="69"/>
    <cellStyle name="Normal 8 2" xfId="104"/>
    <cellStyle name="Normal 9" xfId="70"/>
    <cellStyle name="Normal 9 10" xfId="326"/>
    <cellStyle name="Normal 9 2" xfId="105"/>
    <cellStyle name="Normal 9 3" xfId="154"/>
    <cellStyle name="Normal 9 4" xfId="327"/>
    <cellStyle name="Normal 9 5" xfId="328"/>
    <cellStyle name="Normal 9 6" xfId="329"/>
    <cellStyle name="Normal 9 7" xfId="330"/>
    <cellStyle name="Normal 9 8" xfId="331"/>
    <cellStyle name="Normal 9 9" xfId="332"/>
    <cellStyle name="Normal_RESUMO DA TABELA SINAPI" xfId="2"/>
    <cellStyle name="Nota 2" xfId="54"/>
    <cellStyle name="Porcentagem" xfId="127" builtinId="5"/>
    <cellStyle name="Porcentagem 12" xfId="106"/>
    <cellStyle name="Porcentagem 12 10" xfId="333"/>
    <cellStyle name="Porcentagem 12 11" xfId="334"/>
    <cellStyle name="Porcentagem 12 2" xfId="107"/>
    <cellStyle name="Porcentagem 12 3" xfId="108"/>
    <cellStyle name="Porcentagem 12 3 2" xfId="156"/>
    <cellStyle name="Porcentagem 12 3 3" xfId="335"/>
    <cellStyle name="Porcentagem 12 3 4" xfId="336"/>
    <cellStyle name="Porcentagem 12 3 5" xfId="337"/>
    <cellStyle name="Porcentagem 12 3 6" xfId="338"/>
    <cellStyle name="Porcentagem 12 3 7" xfId="339"/>
    <cellStyle name="Porcentagem 12 3 8" xfId="340"/>
    <cellStyle name="Porcentagem 12 3 9" xfId="341"/>
    <cellStyle name="Porcentagem 12 4" xfId="155"/>
    <cellStyle name="Porcentagem 12 5" xfId="342"/>
    <cellStyle name="Porcentagem 12 6" xfId="343"/>
    <cellStyle name="Porcentagem 12 7" xfId="344"/>
    <cellStyle name="Porcentagem 12 8" xfId="345"/>
    <cellStyle name="Porcentagem 12 9" xfId="346"/>
    <cellStyle name="Porcentagem 2" xfId="6"/>
    <cellStyle name="Porcentagem 2 10" xfId="347"/>
    <cellStyle name="Porcentagem 2 2" xfId="109"/>
    <cellStyle name="Porcentagem 2 3" xfId="157"/>
    <cellStyle name="Porcentagem 2 4" xfId="348"/>
    <cellStyle name="Porcentagem 2 5" xfId="349"/>
    <cellStyle name="Porcentagem 2 6" xfId="350"/>
    <cellStyle name="Porcentagem 2 7" xfId="351"/>
    <cellStyle name="Porcentagem 2 8" xfId="352"/>
    <cellStyle name="Porcentagem 2 9" xfId="353"/>
    <cellStyle name="Porcentagem 3" xfId="9"/>
    <cellStyle name="Porcentagem 3 10" xfId="354"/>
    <cellStyle name="Porcentagem 3 2" xfId="11"/>
    <cellStyle name="Porcentagem 3 2 2" xfId="159"/>
    <cellStyle name="Porcentagem 3 2 3" xfId="355"/>
    <cellStyle name="Porcentagem 3 2 4" xfId="356"/>
    <cellStyle name="Porcentagem 3 2 5" xfId="357"/>
    <cellStyle name="Porcentagem 3 2 6" xfId="358"/>
    <cellStyle name="Porcentagem 3 2 7" xfId="359"/>
    <cellStyle name="Porcentagem 3 2 8" xfId="360"/>
    <cellStyle name="Porcentagem 3 2 9" xfId="361"/>
    <cellStyle name="Porcentagem 3 3" xfId="158"/>
    <cellStyle name="Porcentagem 3 4" xfId="362"/>
    <cellStyle name="Porcentagem 3 5" xfId="363"/>
    <cellStyle name="Porcentagem 3 6" xfId="364"/>
    <cellStyle name="Porcentagem 3 7" xfId="365"/>
    <cellStyle name="Porcentagem 3 8" xfId="366"/>
    <cellStyle name="Porcentagem 3 9" xfId="367"/>
    <cellStyle name="Porcentagem 4" xfId="110"/>
    <cellStyle name="Porcentagem 5" xfId="111"/>
    <cellStyle name="Porcentagem 5 2" xfId="160"/>
    <cellStyle name="Porcentagem 5 3" xfId="368"/>
    <cellStyle name="Porcentagem 5 4" xfId="369"/>
    <cellStyle name="Porcentagem 5 5" xfId="370"/>
    <cellStyle name="Porcentagem 5 6" xfId="371"/>
    <cellStyle name="Porcentagem 5 7" xfId="372"/>
    <cellStyle name="Porcentagem 5 8" xfId="373"/>
    <cellStyle name="Porcentagem 5 9" xfId="374"/>
    <cellStyle name="Porcentagem 6" xfId="123"/>
    <cellStyle name="Porcentagem 6 10" xfId="375"/>
    <cellStyle name="Porcentagem 6 2" xfId="126"/>
    <cellStyle name="Porcentagem 6 3" xfId="161"/>
    <cellStyle name="Porcentagem 6 4" xfId="376"/>
    <cellStyle name="Porcentagem 6 5" xfId="377"/>
    <cellStyle name="Porcentagem 6 6" xfId="378"/>
    <cellStyle name="Porcentagem 6 7" xfId="379"/>
    <cellStyle name="Porcentagem 6 8" xfId="380"/>
    <cellStyle name="Porcentagem 6 9" xfId="381"/>
    <cellStyle name="Saída 2" xfId="55"/>
    <cellStyle name="Separador de milhares" xfId="1" builtinId="3"/>
    <cellStyle name="Separador de milhares 12" xfId="130"/>
    <cellStyle name="Separador de milhares 2" xfId="8"/>
    <cellStyle name="Separador de milhares 2 10" xfId="382"/>
    <cellStyle name="Separador de milhares 2 11" xfId="383"/>
    <cellStyle name="Separador de milhares 2 2" xfId="112"/>
    <cellStyle name="Separador de milhares 2 2 2" xfId="163"/>
    <cellStyle name="Separador de milhares 2 2 3" xfId="384"/>
    <cellStyle name="Separador de milhares 2 2 4" xfId="385"/>
    <cellStyle name="Separador de milhares 2 2 5" xfId="386"/>
    <cellStyle name="Separador de milhares 2 2 6" xfId="387"/>
    <cellStyle name="Separador de milhares 2 2 7" xfId="388"/>
    <cellStyle name="Separador de milhares 2 2 8" xfId="389"/>
    <cellStyle name="Separador de milhares 2 2 9" xfId="390"/>
    <cellStyle name="Separador de milhares 2 3" xfId="113"/>
    <cellStyle name="Separador de milhares 2 3 2" xfId="164"/>
    <cellStyle name="Separador de milhares 2 3 3" xfId="391"/>
    <cellStyle name="Separador de milhares 2 3 4" xfId="392"/>
    <cellStyle name="Separador de milhares 2 3 5" xfId="393"/>
    <cellStyle name="Separador de milhares 2 3 6" xfId="394"/>
    <cellStyle name="Separador de milhares 2 3 7" xfId="395"/>
    <cellStyle name="Separador de milhares 2 3 8" xfId="396"/>
    <cellStyle name="Separador de milhares 2 3 9" xfId="397"/>
    <cellStyle name="Separador de milhares 2 4" xfId="162"/>
    <cellStyle name="Separador de milhares 2 5" xfId="398"/>
    <cellStyle name="Separador de milhares 2 6" xfId="399"/>
    <cellStyle name="Separador de milhares 2 7" xfId="400"/>
    <cellStyle name="Separador de milhares 2 8" xfId="401"/>
    <cellStyle name="Separador de milhares 2 9" xfId="402"/>
    <cellStyle name="Separador de milhares 3" xfId="114"/>
    <cellStyle name="Separador de milhares 4" xfId="115"/>
    <cellStyle name="Separador de milhares 5" xfId="116"/>
    <cellStyle name="Separador de milhares 6" xfId="117"/>
    <cellStyle name="Separador de milhares 6 2" xfId="165"/>
    <cellStyle name="Separador de milhares 6 3" xfId="403"/>
    <cellStyle name="Separador de milhares 6 4" xfId="404"/>
    <cellStyle name="Separador de milhares 6 5" xfId="405"/>
    <cellStyle name="Separador de milhares 6 6" xfId="406"/>
    <cellStyle name="Separador de milhares 6 7" xfId="407"/>
    <cellStyle name="Separador de milhares 6 8" xfId="408"/>
    <cellStyle name="Separador de milhares 6 9" xfId="409"/>
    <cellStyle name="Separador de milhares 7" xfId="119"/>
    <cellStyle name="Separador de milhares 8" xfId="132"/>
    <cellStyle name="Separador de milhares_RESUMO DA TABELA SINAPI 2" xfId="167"/>
    <cellStyle name="Separador de milhares_RESUMO DA TABELA SINAPI 2 2" xfId="170"/>
    <cellStyle name="Texto de Aviso 2" xfId="56"/>
    <cellStyle name="Texto Explicativo 2" xfId="57"/>
    <cellStyle name="Título 1 1" xfId="118"/>
    <cellStyle name="Título 1 2" xfId="58"/>
    <cellStyle name="Título 2 2" xfId="59"/>
    <cellStyle name="Título 3 2" xfId="60"/>
    <cellStyle name="Título 4 2" xfId="61"/>
    <cellStyle name="Título 5" xfId="62"/>
    <cellStyle name="Total 2" xfId="63"/>
    <cellStyle name="Vírgula 2" xfId="64"/>
    <cellStyle name="Vírgula 3" xfId="65"/>
    <cellStyle name="Vírgula 4" xfId="71"/>
    <cellStyle name="Vírgula 4 2" xfId="166"/>
    <cellStyle name="Vírgula 4 3" xfId="410"/>
    <cellStyle name="Vírgula 4 4" xfId="411"/>
    <cellStyle name="Vírgula 4 5" xfId="412"/>
    <cellStyle name="Vírgula 4 6" xfId="413"/>
    <cellStyle name="Vírgula 4 7" xfId="414"/>
    <cellStyle name="Vírgula 4 8" xfId="415"/>
    <cellStyle name="Vírgula 4 9" xfId="416"/>
    <cellStyle name="Vírgula0" xfId="66"/>
  </cellStyles>
  <dxfs count="6">
    <dxf>
      <font>
        <condense val="0"/>
        <extend val="0"/>
        <color indexed="9"/>
      </font>
    </dxf>
    <dxf>
      <font>
        <color rgb="FFFF0000"/>
      </font>
    </dxf>
    <dxf>
      <font>
        <color theme="0"/>
      </font>
      <fill>
        <patternFill>
          <bgColor theme="0"/>
        </patternFill>
      </fill>
    </dxf>
    <dxf>
      <font>
        <b/>
        <i val="0"/>
        <condense val="0"/>
        <extend val="0"/>
        <color indexed="10"/>
      </font>
    </dxf>
    <dxf>
      <font>
        <b/>
        <i val="0"/>
        <condense val="0"/>
        <extend val="0"/>
        <color indexed="10"/>
      </font>
      <fill>
        <patternFill patternType="none">
          <bgColor indexed="65"/>
        </patternFill>
      </fill>
    </dxf>
    <dxf>
      <font>
        <b/>
        <i val="0"/>
        <strike val="0"/>
        <condense val="0"/>
        <extend val="0"/>
        <color indexed="10"/>
      </font>
      <fill>
        <patternFill>
          <bgColor indexed="43"/>
        </patternFill>
      </fill>
    </dxf>
  </dxfs>
  <tableStyles count="0" defaultTableStyle="TableStyleMedium9" defaultPivotStyle="PivotStyleLight16"/>
  <colors>
    <mruColors>
      <color rgb="FFFF6600"/>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449140</xdr:colOff>
      <xdr:row>29</xdr:row>
      <xdr:rowOff>90123</xdr:rowOff>
    </xdr:from>
    <xdr:to>
      <xdr:col>1</xdr:col>
      <xdr:colOff>2083044</xdr:colOff>
      <xdr:row>32</xdr:row>
      <xdr:rowOff>102577</xdr:rowOff>
    </xdr:to>
    <xdr:sp macro="" textlink="">
      <xdr:nvSpPr>
        <xdr:cNvPr id="2" name="Caixa de Texto 2"/>
        <xdr:cNvSpPr txBox="1">
          <a:spLocks noChangeArrowheads="1"/>
        </xdr:cNvSpPr>
      </xdr:nvSpPr>
      <xdr:spPr bwMode="auto">
        <a:xfrm>
          <a:off x="449140" y="5071698"/>
          <a:ext cx="2272079" cy="46965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pt-BR" sz="1000" b="1" i="0" u="none" strike="noStrike" baseline="0">
              <a:solidFill>
                <a:srgbClr val="000000"/>
              </a:solidFill>
              <a:latin typeface="Times New Roman"/>
              <a:cs typeface="Times New Roman"/>
            </a:rPr>
            <a:t>BDI = </a:t>
          </a:r>
          <a:r>
            <a:rPr lang="pt-BR" sz="1000" b="0" i="0" u="sng" strike="noStrike" baseline="0">
              <a:solidFill>
                <a:srgbClr val="000000"/>
              </a:solidFill>
              <a:latin typeface="Times New Roman"/>
              <a:cs typeface="Times New Roman"/>
            </a:rPr>
            <a:t>(1+AC+S+R+G)(1+DF)(1+L</a:t>
          </a:r>
          <a:r>
            <a:rPr lang="pt-BR" sz="1000" b="0" i="0" u="none" strike="noStrike" baseline="0">
              <a:solidFill>
                <a:srgbClr val="000000"/>
              </a:solidFill>
              <a:latin typeface="Times New Roman"/>
              <a:cs typeface="Times New Roman"/>
            </a:rPr>
            <a:t>) - 1</a:t>
          </a:r>
        </a:p>
        <a:p>
          <a:pPr algn="l" rtl="0">
            <a:lnSpc>
              <a:spcPts val="1200"/>
            </a:lnSpc>
            <a:defRPr sz="1000"/>
          </a:pPr>
          <a:r>
            <a:rPr lang="pt-BR" sz="1100" b="0" i="0" u="none" strike="noStrike" baseline="0">
              <a:solidFill>
                <a:srgbClr val="000000"/>
              </a:solidFill>
              <a:latin typeface="Times New Roman"/>
              <a:cs typeface="Times New Roman"/>
            </a:rPr>
            <a:t>                        (1-I)</a:t>
          </a:r>
        </a:p>
        <a:p>
          <a:pPr algn="l" rtl="0">
            <a:defRPr sz="1000"/>
          </a:pPr>
          <a:endParaRPr lang="pt-BR"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OS/COPA/Av.%20Anita/Grupo/CRIST&#211;V&#195;O/or&#231;amento%20Crist&#243;v&#227;o%202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JETOS\COPA\Av.%20Anita\Grupo\CRIST&#211;V&#195;O\or&#231;amento%20Crist&#243;v&#227;o%2022-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ROJETOS\COPA\Av.%20Anita\Grupo\CRIST&#211;V&#195;O\or&#231;amento%20Crist&#243;v&#227;o%2022-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felipec\Documents\2-Projetos\Organizar%20310514\Mobilidade\Or&#231;amento\PAC_OR&#199;AMENTO_E_CRONOGRAMA_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lipec/Documents/2-Projetos/Organizar%20310514/Mobilidade/Or&#231;amento/PAC_OR&#199;AMENTO_E_CRONOGRAMA_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ia/1-PROJETOS/217%20-%20PM%20Presidente%20Lucena/01%20-%20Arquivos%20Recebidos/06.%20PM_Planilha%20(06022018)/AN&#193;LISE%20PLANILHA%20SINAPI%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rativo Av. Cristóvão"/>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ativo Av. Cristóvão"/>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ativo Av. Cristóvão"/>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S"/>
      <sheetName val="BD"/>
      <sheetName val="RE"/>
      <sheetName val="REFF"/>
      <sheetName val="REL PAG"/>
      <sheetName val="REL BENS"/>
      <sheetName val="OFÍCIO"/>
      <sheetName val="ALVORADA_ORÇAMENTO"/>
      <sheetName val="CRONOGRAMA"/>
      <sheetName val="ALVORADA_VIADUTO"/>
      <sheetName val="ALVORADA_"/>
      <sheetName val="MEDIÇÃO RETIFICADA"/>
      <sheetName val="Planilha15"/>
      <sheetName val="OFICIO"/>
      <sheetName val="RESUMO EMPREENDIMENTO"/>
      <sheetName val="BOLETIM"/>
    </sheetNames>
    <sheetDataSet>
      <sheetData sheetId="0" refreshError="1"/>
      <sheetData sheetId="1" refreshError="1"/>
      <sheetData sheetId="2">
        <row r="13">
          <cell r="B13">
            <v>1</v>
          </cell>
          <cell r="C13" t="str">
            <v>Construção de Pavilhão 01</v>
          </cell>
          <cell r="E13">
            <v>100</v>
          </cell>
          <cell r="F13">
            <v>538043.25</v>
          </cell>
          <cell r="G13">
            <v>525919.56999999995</v>
          </cell>
          <cell r="H13">
            <v>525919.56999999995</v>
          </cell>
          <cell r="I13">
            <v>525919.56999999995</v>
          </cell>
          <cell r="J13">
            <v>239020.62</v>
          </cell>
          <cell r="K13" t="e">
            <v>#REF!</v>
          </cell>
          <cell r="L13">
            <v>239020.62</v>
          </cell>
          <cell r="M13">
            <v>7.86</v>
          </cell>
          <cell r="N13">
            <v>44.424053270810475</v>
          </cell>
          <cell r="O13">
            <v>45.448131926332394</v>
          </cell>
          <cell r="P13">
            <v>45.448131926332394</v>
          </cell>
        </row>
        <row r="14">
          <cell r="E14">
            <v>0</v>
          </cell>
          <cell r="H14">
            <v>0</v>
          </cell>
          <cell r="I14">
            <v>0</v>
          </cell>
          <cell r="K14" t="e">
            <v>#REF!</v>
          </cell>
          <cell r="N14">
            <v>0</v>
          </cell>
          <cell r="O14">
            <v>0</v>
          </cell>
          <cell r="P14">
            <v>0</v>
          </cell>
        </row>
        <row r="15">
          <cell r="E15">
            <v>0</v>
          </cell>
          <cell r="H15">
            <v>0</v>
          </cell>
          <cell r="I15">
            <v>0</v>
          </cell>
          <cell r="K15" t="e">
            <v>#REF!</v>
          </cell>
          <cell r="N15">
            <v>0</v>
          </cell>
          <cell r="O15">
            <v>0</v>
          </cell>
          <cell r="P15">
            <v>0</v>
          </cell>
        </row>
        <row r="16">
          <cell r="E16">
            <v>0</v>
          </cell>
          <cell r="H16">
            <v>0</v>
          </cell>
          <cell r="I16">
            <v>0</v>
          </cell>
          <cell r="K16" t="e">
            <v>#REF!</v>
          </cell>
          <cell r="N16">
            <v>0</v>
          </cell>
          <cell r="O16">
            <v>0</v>
          </cell>
          <cell r="P16">
            <v>0</v>
          </cell>
        </row>
        <row r="17">
          <cell r="E17">
            <v>0</v>
          </cell>
          <cell r="H17">
            <v>0</v>
          </cell>
          <cell r="I17">
            <v>0</v>
          </cell>
          <cell r="K17" t="e">
            <v>#REF!</v>
          </cell>
          <cell r="N17">
            <v>0</v>
          </cell>
          <cell r="O17">
            <v>0</v>
          </cell>
          <cell r="P17">
            <v>0</v>
          </cell>
        </row>
        <row r="18">
          <cell r="E18">
            <v>0</v>
          </cell>
          <cell r="H18">
            <v>0</v>
          </cell>
          <cell r="I18">
            <v>0</v>
          </cell>
          <cell r="K18" t="e">
            <v>#REF!</v>
          </cell>
          <cell r="N18">
            <v>0</v>
          </cell>
          <cell r="O18">
            <v>0</v>
          </cell>
          <cell r="P18">
            <v>0</v>
          </cell>
        </row>
        <row r="19">
          <cell r="E19">
            <v>0</v>
          </cell>
          <cell r="H19">
            <v>0</v>
          </cell>
          <cell r="I19">
            <v>0</v>
          </cell>
          <cell r="K19" t="e">
            <v>#REF!</v>
          </cell>
          <cell r="N19">
            <v>0</v>
          </cell>
          <cell r="O19">
            <v>0</v>
          </cell>
          <cell r="P19">
            <v>0</v>
          </cell>
        </row>
        <row r="20">
          <cell r="E20">
            <v>0</v>
          </cell>
          <cell r="H20">
            <v>0</v>
          </cell>
          <cell r="I20">
            <v>0</v>
          </cell>
          <cell r="K20" t="e">
            <v>#REF!</v>
          </cell>
          <cell r="N20">
            <v>0</v>
          </cell>
          <cell r="O20">
            <v>0</v>
          </cell>
          <cell r="P20">
            <v>0</v>
          </cell>
        </row>
        <row r="21">
          <cell r="E21">
            <v>0</v>
          </cell>
          <cell r="H21">
            <v>0</v>
          </cell>
          <cell r="I21">
            <v>0</v>
          </cell>
          <cell r="K21" t="e">
            <v>#REF!</v>
          </cell>
          <cell r="N21">
            <v>0</v>
          </cell>
          <cell r="O21">
            <v>0</v>
          </cell>
          <cell r="P21">
            <v>0</v>
          </cell>
        </row>
        <row r="22">
          <cell r="E22">
            <v>0</v>
          </cell>
          <cell r="H22">
            <v>0</v>
          </cell>
          <cell r="I22">
            <v>0</v>
          </cell>
          <cell r="K22" t="e">
            <v>#REF!</v>
          </cell>
          <cell r="N22">
            <v>0</v>
          </cell>
          <cell r="O22">
            <v>0</v>
          </cell>
          <cell r="P22">
            <v>0</v>
          </cell>
        </row>
        <row r="23">
          <cell r="E23">
            <v>0</v>
          </cell>
          <cell r="H23">
            <v>0</v>
          </cell>
          <cell r="I23">
            <v>0</v>
          </cell>
          <cell r="K23" t="e">
            <v>#REF!</v>
          </cell>
          <cell r="N23">
            <v>0</v>
          </cell>
          <cell r="O23">
            <v>0</v>
          </cell>
          <cell r="P23">
            <v>0</v>
          </cell>
        </row>
        <row r="24">
          <cell r="E24">
            <v>0</v>
          </cell>
          <cell r="H24">
            <v>0</v>
          </cell>
          <cell r="I24">
            <v>0</v>
          </cell>
          <cell r="K24" t="e">
            <v>#REF!</v>
          </cell>
          <cell r="N24">
            <v>0</v>
          </cell>
          <cell r="O24">
            <v>0</v>
          </cell>
          <cell r="P24">
            <v>0</v>
          </cell>
        </row>
        <row r="25">
          <cell r="B25" t="str">
            <v>TOTAL OBRAS</v>
          </cell>
          <cell r="E25">
            <v>100</v>
          </cell>
          <cell r="F25">
            <v>538043.25</v>
          </cell>
          <cell r="G25">
            <v>525919.56999999995</v>
          </cell>
          <cell r="H25">
            <v>525919.56999999995</v>
          </cell>
          <cell r="I25">
            <v>525919.56999999995</v>
          </cell>
          <cell r="J25">
            <v>239020.62</v>
          </cell>
          <cell r="K25" t="e">
            <v>#REF!</v>
          </cell>
          <cell r="L25">
            <v>239020.62</v>
          </cell>
          <cell r="M25">
            <v>7.86</v>
          </cell>
          <cell r="N25">
            <v>44.424053270810475</v>
          </cell>
          <cell r="O25">
            <v>45.448131926332394</v>
          </cell>
          <cell r="P25">
            <v>45.448131926332394</v>
          </cell>
        </row>
        <row r="26">
          <cell r="E26">
            <v>0</v>
          </cell>
          <cell r="H26">
            <v>0</v>
          </cell>
          <cell r="I26">
            <v>0</v>
          </cell>
          <cell r="K26" t="e">
            <v>#REF!</v>
          </cell>
          <cell r="N26">
            <v>0</v>
          </cell>
          <cell r="O26">
            <v>0</v>
          </cell>
          <cell r="P26">
            <v>0</v>
          </cell>
        </row>
        <row r="27">
          <cell r="E27">
            <v>0</v>
          </cell>
          <cell r="H27">
            <v>0</v>
          </cell>
          <cell r="I27">
            <v>0</v>
          </cell>
          <cell r="K27" t="e">
            <v>#REF!</v>
          </cell>
          <cell r="N27">
            <v>0</v>
          </cell>
          <cell r="O27">
            <v>0</v>
          </cell>
          <cell r="P27">
            <v>0</v>
          </cell>
        </row>
        <row r="28">
          <cell r="E28">
            <v>0</v>
          </cell>
          <cell r="H28">
            <v>0</v>
          </cell>
          <cell r="I28">
            <v>0</v>
          </cell>
          <cell r="K28" t="e">
            <v>#REF!</v>
          </cell>
          <cell r="N28">
            <v>0</v>
          </cell>
          <cell r="O28">
            <v>0</v>
          </cell>
          <cell r="P28">
            <v>0</v>
          </cell>
        </row>
        <row r="29">
          <cell r="E29">
            <v>0</v>
          </cell>
          <cell r="H29">
            <v>0</v>
          </cell>
          <cell r="I29">
            <v>0</v>
          </cell>
          <cell r="K29" t="e">
            <v>#REF!</v>
          </cell>
          <cell r="N29">
            <v>0</v>
          </cell>
          <cell r="O29">
            <v>0</v>
          </cell>
          <cell r="P29">
            <v>0</v>
          </cell>
        </row>
        <row r="30">
          <cell r="E30">
            <v>0</v>
          </cell>
          <cell r="H30">
            <v>0</v>
          </cell>
          <cell r="I30">
            <v>0</v>
          </cell>
          <cell r="K30" t="e">
            <v>#REF!</v>
          </cell>
          <cell r="N30">
            <v>0</v>
          </cell>
          <cell r="O30">
            <v>0</v>
          </cell>
          <cell r="P30">
            <v>0</v>
          </cell>
        </row>
        <row r="31">
          <cell r="E31">
            <v>0</v>
          </cell>
          <cell r="H31">
            <v>0</v>
          </cell>
          <cell r="I31">
            <v>0</v>
          </cell>
          <cell r="K31" t="e">
            <v>#REF!</v>
          </cell>
          <cell r="N31">
            <v>0</v>
          </cell>
          <cell r="O31">
            <v>0</v>
          </cell>
          <cell r="P31">
            <v>0</v>
          </cell>
        </row>
        <row r="32">
          <cell r="E32">
            <v>0</v>
          </cell>
          <cell r="H32">
            <v>0</v>
          </cell>
          <cell r="I32">
            <v>0</v>
          </cell>
          <cell r="K32" t="e">
            <v>#REF!</v>
          </cell>
          <cell r="N32">
            <v>0</v>
          </cell>
          <cell r="O32">
            <v>0</v>
          </cell>
          <cell r="P32">
            <v>0</v>
          </cell>
        </row>
        <row r="33">
          <cell r="E33">
            <v>0</v>
          </cell>
          <cell r="H33">
            <v>0</v>
          </cell>
          <cell r="I33">
            <v>0</v>
          </cell>
          <cell r="K33" t="e">
            <v>#REF!</v>
          </cell>
          <cell r="N33">
            <v>0</v>
          </cell>
          <cell r="O33">
            <v>0</v>
          </cell>
          <cell r="P33">
            <v>0</v>
          </cell>
        </row>
        <row r="34">
          <cell r="E34">
            <v>0</v>
          </cell>
          <cell r="H34">
            <v>0</v>
          </cell>
          <cell r="I34">
            <v>0</v>
          </cell>
          <cell r="K34" t="e">
            <v>#REF!</v>
          </cell>
          <cell r="N34">
            <v>0</v>
          </cell>
          <cell r="O34">
            <v>0</v>
          </cell>
          <cell r="P34">
            <v>0</v>
          </cell>
        </row>
        <row r="35">
          <cell r="E35">
            <v>0</v>
          </cell>
          <cell r="H35">
            <v>0</v>
          </cell>
          <cell r="I35">
            <v>0</v>
          </cell>
          <cell r="K35" t="e">
            <v>#REF!</v>
          </cell>
          <cell r="N35">
            <v>0</v>
          </cell>
          <cell r="O35">
            <v>0</v>
          </cell>
          <cell r="P35">
            <v>0</v>
          </cell>
        </row>
        <row r="36">
          <cell r="E36">
            <v>0</v>
          </cell>
          <cell r="H36">
            <v>0</v>
          </cell>
          <cell r="I36">
            <v>0</v>
          </cell>
          <cell r="K36" t="e">
            <v>#REF!</v>
          </cell>
          <cell r="N36">
            <v>0</v>
          </cell>
          <cell r="O36">
            <v>0</v>
          </cell>
          <cell r="P36">
            <v>0</v>
          </cell>
        </row>
        <row r="37">
          <cell r="E37">
            <v>0</v>
          </cell>
          <cell r="H37">
            <v>0</v>
          </cell>
          <cell r="I37">
            <v>0</v>
          </cell>
          <cell r="K37" t="e">
            <v>#REF!</v>
          </cell>
          <cell r="N37">
            <v>0</v>
          </cell>
          <cell r="O37">
            <v>0</v>
          </cell>
          <cell r="P3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S"/>
      <sheetName val="BD"/>
      <sheetName val="RE"/>
      <sheetName val="REFF"/>
      <sheetName val="REL PAG"/>
      <sheetName val="REL BENS"/>
      <sheetName val="OFÍCIO"/>
      <sheetName val="ALVORADA_ORÇAMENTO"/>
      <sheetName val="CRONOGRAMA"/>
      <sheetName val="ALVORADA_VIADUTO"/>
      <sheetName val="ALVORADA_"/>
      <sheetName val="MEDIÇÃO RETIFICADA"/>
      <sheetName val="Planilha15"/>
      <sheetName val="OFICIO"/>
      <sheetName val="RESUMO EMPREENDIMENTO"/>
      <sheetName val="BOLETIM"/>
    </sheetNames>
    <sheetDataSet>
      <sheetData sheetId="0" refreshError="1"/>
      <sheetData sheetId="1" refreshError="1"/>
      <sheetData sheetId="2">
        <row r="13">
          <cell r="B13">
            <v>1</v>
          </cell>
          <cell r="C13" t="str">
            <v>Construção de Pavilhão 01</v>
          </cell>
          <cell r="E13">
            <v>100</v>
          </cell>
          <cell r="F13">
            <v>538043.25</v>
          </cell>
          <cell r="G13">
            <v>525919.56999999995</v>
          </cell>
          <cell r="H13">
            <v>525919.56999999995</v>
          </cell>
          <cell r="I13">
            <v>525919.56999999995</v>
          </cell>
          <cell r="J13">
            <v>239020.62</v>
          </cell>
          <cell r="K13" t="e">
            <v>#REF!</v>
          </cell>
          <cell r="L13">
            <v>239020.62</v>
          </cell>
          <cell r="M13">
            <v>7.86</v>
          </cell>
          <cell r="N13">
            <v>44.424053270810475</v>
          </cell>
          <cell r="O13">
            <v>45.448131926332394</v>
          </cell>
          <cell r="P13">
            <v>45.448131926332394</v>
          </cell>
        </row>
        <row r="14">
          <cell r="E14">
            <v>0</v>
          </cell>
          <cell r="H14">
            <v>0</v>
          </cell>
          <cell r="I14">
            <v>0</v>
          </cell>
          <cell r="K14" t="e">
            <v>#REF!</v>
          </cell>
          <cell r="N14">
            <v>0</v>
          </cell>
          <cell r="O14">
            <v>0</v>
          </cell>
          <cell r="P14">
            <v>0</v>
          </cell>
        </row>
        <row r="15">
          <cell r="E15">
            <v>0</v>
          </cell>
          <cell r="H15">
            <v>0</v>
          </cell>
          <cell r="I15">
            <v>0</v>
          </cell>
          <cell r="K15" t="e">
            <v>#REF!</v>
          </cell>
          <cell r="N15">
            <v>0</v>
          </cell>
          <cell r="O15">
            <v>0</v>
          </cell>
          <cell r="P15">
            <v>0</v>
          </cell>
        </row>
        <row r="16">
          <cell r="E16">
            <v>0</v>
          </cell>
          <cell r="H16">
            <v>0</v>
          </cell>
          <cell r="I16">
            <v>0</v>
          </cell>
          <cell r="K16" t="e">
            <v>#REF!</v>
          </cell>
          <cell r="N16">
            <v>0</v>
          </cell>
          <cell r="O16">
            <v>0</v>
          </cell>
          <cell r="P16">
            <v>0</v>
          </cell>
        </row>
        <row r="17">
          <cell r="E17">
            <v>0</v>
          </cell>
          <cell r="H17">
            <v>0</v>
          </cell>
          <cell r="I17">
            <v>0</v>
          </cell>
          <cell r="K17" t="e">
            <v>#REF!</v>
          </cell>
          <cell r="N17">
            <v>0</v>
          </cell>
          <cell r="O17">
            <v>0</v>
          </cell>
          <cell r="P17">
            <v>0</v>
          </cell>
        </row>
        <row r="18">
          <cell r="E18">
            <v>0</v>
          </cell>
          <cell r="H18">
            <v>0</v>
          </cell>
          <cell r="I18">
            <v>0</v>
          </cell>
          <cell r="K18" t="e">
            <v>#REF!</v>
          </cell>
          <cell r="N18">
            <v>0</v>
          </cell>
          <cell r="O18">
            <v>0</v>
          </cell>
          <cell r="P18">
            <v>0</v>
          </cell>
        </row>
        <row r="19">
          <cell r="E19">
            <v>0</v>
          </cell>
          <cell r="H19">
            <v>0</v>
          </cell>
          <cell r="I19">
            <v>0</v>
          </cell>
          <cell r="K19" t="e">
            <v>#REF!</v>
          </cell>
          <cell r="N19">
            <v>0</v>
          </cell>
          <cell r="O19">
            <v>0</v>
          </cell>
          <cell r="P19">
            <v>0</v>
          </cell>
        </row>
        <row r="20">
          <cell r="E20">
            <v>0</v>
          </cell>
          <cell r="H20">
            <v>0</v>
          </cell>
          <cell r="I20">
            <v>0</v>
          </cell>
          <cell r="K20" t="e">
            <v>#REF!</v>
          </cell>
          <cell r="N20">
            <v>0</v>
          </cell>
          <cell r="O20">
            <v>0</v>
          </cell>
          <cell r="P20">
            <v>0</v>
          </cell>
        </row>
        <row r="21">
          <cell r="E21">
            <v>0</v>
          </cell>
          <cell r="H21">
            <v>0</v>
          </cell>
          <cell r="I21">
            <v>0</v>
          </cell>
          <cell r="K21" t="e">
            <v>#REF!</v>
          </cell>
          <cell r="N21">
            <v>0</v>
          </cell>
          <cell r="O21">
            <v>0</v>
          </cell>
          <cell r="P21">
            <v>0</v>
          </cell>
        </row>
        <row r="22">
          <cell r="E22">
            <v>0</v>
          </cell>
          <cell r="H22">
            <v>0</v>
          </cell>
          <cell r="I22">
            <v>0</v>
          </cell>
          <cell r="K22" t="e">
            <v>#REF!</v>
          </cell>
          <cell r="N22">
            <v>0</v>
          </cell>
          <cell r="O22">
            <v>0</v>
          </cell>
          <cell r="P22">
            <v>0</v>
          </cell>
        </row>
        <row r="23">
          <cell r="E23">
            <v>0</v>
          </cell>
          <cell r="H23">
            <v>0</v>
          </cell>
          <cell r="I23">
            <v>0</v>
          </cell>
          <cell r="K23" t="e">
            <v>#REF!</v>
          </cell>
          <cell r="N23">
            <v>0</v>
          </cell>
          <cell r="O23">
            <v>0</v>
          </cell>
          <cell r="P23">
            <v>0</v>
          </cell>
        </row>
        <row r="24">
          <cell r="E24">
            <v>0</v>
          </cell>
          <cell r="H24">
            <v>0</v>
          </cell>
          <cell r="I24">
            <v>0</v>
          </cell>
          <cell r="K24" t="e">
            <v>#REF!</v>
          </cell>
          <cell r="N24">
            <v>0</v>
          </cell>
          <cell r="O24">
            <v>0</v>
          </cell>
          <cell r="P24">
            <v>0</v>
          </cell>
        </row>
        <row r="25">
          <cell r="B25" t="str">
            <v>TOTAL OBRAS</v>
          </cell>
          <cell r="E25">
            <v>100</v>
          </cell>
          <cell r="F25">
            <v>538043.25</v>
          </cell>
          <cell r="G25">
            <v>525919.56999999995</v>
          </cell>
          <cell r="H25">
            <v>525919.56999999995</v>
          </cell>
          <cell r="I25">
            <v>525919.56999999995</v>
          </cell>
          <cell r="J25">
            <v>239020.62</v>
          </cell>
          <cell r="K25" t="e">
            <v>#REF!</v>
          </cell>
          <cell r="L25">
            <v>239020.62</v>
          </cell>
          <cell r="M25">
            <v>7.86</v>
          </cell>
          <cell r="N25">
            <v>44.424053270810475</v>
          </cell>
          <cell r="O25">
            <v>45.448131926332394</v>
          </cell>
          <cell r="P25">
            <v>45.448131926332394</v>
          </cell>
        </row>
        <row r="26">
          <cell r="E26">
            <v>0</v>
          </cell>
          <cell r="H26">
            <v>0</v>
          </cell>
          <cell r="I26">
            <v>0</v>
          </cell>
          <cell r="K26" t="e">
            <v>#REF!</v>
          </cell>
          <cell r="N26">
            <v>0</v>
          </cell>
          <cell r="O26">
            <v>0</v>
          </cell>
          <cell r="P26">
            <v>0</v>
          </cell>
        </row>
        <row r="27">
          <cell r="E27">
            <v>0</v>
          </cell>
          <cell r="H27">
            <v>0</v>
          </cell>
          <cell r="I27">
            <v>0</v>
          </cell>
          <cell r="K27" t="e">
            <v>#REF!</v>
          </cell>
          <cell r="N27">
            <v>0</v>
          </cell>
          <cell r="O27">
            <v>0</v>
          </cell>
          <cell r="P27">
            <v>0</v>
          </cell>
        </row>
        <row r="28">
          <cell r="E28">
            <v>0</v>
          </cell>
          <cell r="H28">
            <v>0</v>
          </cell>
          <cell r="I28">
            <v>0</v>
          </cell>
          <cell r="K28" t="e">
            <v>#REF!</v>
          </cell>
          <cell r="N28">
            <v>0</v>
          </cell>
          <cell r="O28">
            <v>0</v>
          </cell>
          <cell r="P28">
            <v>0</v>
          </cell>
        </row>
        <row r="29">
          <cell r="E29">
            <v>0</v>
          </cell>
          <cell r="H29">
            <v>0</v>
          </cell>
          <cell r="I29">
            <v>0</v>
          </cell>
          <cell r="K29" t="e">
            <v>#REF!</v>
          </cell>
          <cell r="N29">
            <v>0</v>
          </cell>
          <cell r="O29">
            <v>0</v>
          </cell>
          <cell r="P29">
            <v>0</v>
          </cell>
        </row>
        <row r="30">
          <cell r="E30">
            <v>0</v>
          </cell>
          <cell r="H30">
            <v>0</v>
          </cell>
          <cell r="I30">
            <v>0</v>
          </cell>
          <cell r="K30" t="e">
            <v>#REF!</v>
          </cell>
          <cell r="N30">
            <v>0</v>
          </cell>
          <cell r="O30">
            <v>0</v>
          </cell>
          <cell r="P30">
            <v>0</v>
          </cell>
        </row>
        <row r="31">
          <cell r="E31">
            <v>0</v>
          </cell>
          <cell r="H31">
            <v>0</v>
          </cell>
          <cell r="I31">
            <v>0</v>
          </cell>
          <cell r="K31" t="e">
            <v>#REF!</v>
          </cell>
          <cell r="N31">
            <v>0</v>
          </cell>
          <cell r="O31">
            <v>0</v>
          </cell>
          <cell r="P31">
            <v>0</v>
          </cell>
        </row>
        <row r="32">
          <cell r="E32">
            <v>0</v>
          </cell>
          <cell r="H32">
            <v>0</v>
          </cell>
          <cell r="I32">
            <v>0</v>
          </cell>
          <cell r="K32" t="e">
            <v>#REF!</v>
          </cell>
          <cell r="N32">
            <v>0</v>
          </cell>
          <cell r="O32">
            <v>0</v>
          </cell>
          <cell r="P32">
            <v>0</v>
          </cell>
        </row>
        <row r="33">
          <cell r="E33">
            <v>0</v>
          </cell>
          <cell r="H33">
            <v>0</v>
          </cell>
          <cell r="I33">
            <v>0</v>
          </cell>
          <cell r="K33" t="e">
            <v>#REF!</v>
          </cell>
          <cell r="N33">
            <v>0</v>
          </cell>
          <cell r="O33">
            <v>0</v>
          </cell>
          <cell r="P33">
            <v>0</v>
          </cell>
        </row>
        <row r="34">
          <cell r="E34">
            <v>0</v>
          </cell>
          <cell r="H34">
            <v>0</v>
          </cell>
          <cell r="I34">
            <v>0</v>
          </cell>
          <cell r="K34" t="e">
            <v>#REF!</v>
          </cell>
          <cell r="N34">
            <v>0</v>
          </cell>
          <cell r="O34">
            <v>0</v>
          </cell>
          <cell r="P34">
            <v>0</v>
          </cell>
        </row>
        <row r="35">
          <cell r="E35">
            <v>0</v>
          </cell>
          <cell r="H35">
            <v>0</v>
          </cell>
          <cell r="I35">
            <v>0</v>
          </cell>
          <cell r="K35" t="e">
            <v>#REF!</v>
          </cell>
          <cell r="N35">
            <v>0</v>
          </cell>
          <cell r="O35">
            <v>0</v>
          </cell>
          <cell r="P35">
            <v>0</v>
          </cell>
        </row>
        <row r="36">
          <cell r="E36">
            <v>0</v>
          </cell>
          <cell r="H36">
            <v>0</v>
          </cell>
          <cell r="I36">
            <v>0</v>
          </cell>
          <cell r="K36" t="e">
            <v>#REF!</v>
          </cell>
          <cell r="N36">
            <v>0</v>
          </cell>
          <cell r="O36">
            <v>0</v>
          </cell>
          <cell r="P36">
            <v>0</v>
          </cell>
        </row>
        <row r="37">
          <cell r="E37">
            <v>0</v>
          </cell>
          <cell r="H37">
            <v>0</v>
          </cell>
          <cell r="I37">
            <v>0</v>
          </cell>
          <cell r="K37" t="e">
            <v>#REF!</v>
          </cell>
          <cell r="N37">
            <v>0</v>
          </cell>
          <cell r="O37">
            <v>0</v>
          </cell>
          <cell r="P3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delo"/>
      <sheetName val="PREENCHER"/>
      <sheetName val="DECLARAÇÃO"/>
      <sheetName val="ANÁLISE PLANILHA SINAPI (1)"/>
    </sheetNames>
    <definedNames>
      <definedName name="Imprimir"/>
    </definedNames>
    <sheetDataSet>
      <sheetData sheetId="0"/>
      <sheetData sheetId="1"/>
      <sheetData sheetId="2"/>
      <sheetData sheetId="3"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zoomScale="70" zoomScaleNormal="70" workbookViewId="0">
      <selection activeCell="D42" sqref="D42"/>
    </sheetView>
  </sheetViews>
  <sheetFormatPr defaultRowHeight="12.75"/>
  <cols>
    <col min="2" max="2" width="25" bestFit="1" customWidth="1"/>
    <col min="3" max="10" width="15.7109375" customWidth="1"/>
    <col min="11" max="11" width="17.7109375" bestFit="1" customWidth="1"/>
    <col min="13" max="13" width="14" customWidth="1"/>
    <col min="14" max="15" width="9.140625" customWidth="1"/>
  </cols>
  <sheetData>
    <row r="1" spans="1:14" ht="24.95" customHeight="1">
      <c r="A1" s="771" t="s">
        <v>404</v>
      </c>
      <c r="B1" s="772"/>
      <c r="C1" s="772"/>
      <c r="D1" s="772"/>
      <c r="E1" s="772"/>
      <c r="F1" s="772"/>
      <c r="G1" s="772"/>
      <c r="H1" s="772"/>
      <c r="I1" s="772"/>
      <c r="J1" s="772"/>
      <c r="K1" s="773"/>
      <c r="L1" s="121"/>
      <c r="M1" s="121"/>
      <c r="N1" s="121"/>
    </row>
    <row r="2" spans="1:14" ht="24.95" customHeight="1">
      <c r="A2" s="774" t="s">
        <v>71</v>
      </c>
      <c r="B2" s="775"/>
      <c r="C2" s="775"/>
      <c r="D2" s="775"/>
      <c r="E2" s="775"/>
      <c r="F2" s="775"/>
      <c r="G2" s="775"/>
      <c r="H2" s="775"/>
      <c r="I2" s="775"/>
      <c r="J2" s="775"/>
      <c r="K2" s="776"/>
      <c r="L2" s="121"/>
      <c r="M2" s="121"/>
      <c r="N2" s="121"/>
    </row>
    <row r="3" spans="1:14" ht="24.95" customHeight="1" thickBot="1">
      <c r="A3" s="678" t="str">
        <f>ORÇAMENTO!C5</f>
        <v>Estrada Passo Salseiro</v>
      </c>
      <c r="B3" s="375"/>
      <c r="C3" s="375"/>
      <c r="D3" s="375"/>
      <c r="E3" s="375"/>
      <c r="F3" s="375"/>
      <c r="G3" s="375"/>
      <c r="H3" s="375"/>
      <c r="I3" s="375"/>
      <c r="J3" s="375"/>
      <c r="K3" s="748" t="s">
        <v>588</v>
      </c>
      <c r="L3" s="121"/>
      <c r="M3" s="121"/>
      <c r="N3" s="121"/>
    </row>
    <row r="4" spans="1:14" ht="24.95" customHeight="1">
      <c r="A4" s="779" t="s">
        <v>72</v>
      </c>
      <c r="B4" s="781" t="s">
        <v>73</v>
      </c>
      <c r="C4" s="783" t="s">
        <v>192</v>
      </c>
      <c r="D4" s="784"/>
      <c r="E4" s="784"/>
      <c r="F4" s="784"/>
      <c r="G4" s="784"/>
      <c r="H4" s="784"/>
      <c r="I4" s="784"/>
      <c r="J4" s="784"/>
      <c r="K4" s="785" t="s">
        <v>74</v>
      </c>
      <c r="L4" s="121"/>
      <c r="M4" s="121"/>
      <c r="N4" s="121"/>
    </row>
    <row r="5" spans="1:14" ht="24.95" customHeight="1" thickBot="1">
      <c r="A5" s="780"/>
      <c r="B5" s="782"/>
      <c r="C5" s="787">
        <v>30</v>
      </c>
      <c r="D5" s="788"/>
      <c r="E5" s="789">
        <v>60</v>
      </c>
      <c r="F5" s="790"/>
      <c r="G5" s="789">
        <v>90</v>
      </c>
      <c r="H5" s="790"/>
      <c r="I5" s="789">
        <v>120</v>
      </c>
      <c r="J5" s="790"/>
      <c r="K5" s="786"/>
      <c r="L5" s="121"/>
      <c r="M5" s="121"/>
      <c r="N5" s="121"/>
    </row>
    <row r="6" spans="1:14" ht="24.95" customHeight="1">
      <c r="A6" s="89"/>
      <c r="B6" s="90"/>
      <c r="C6" s="791">
        <v>0.3</v>
      </c>
      <c r="D6" s="792"/>
      <c r="E6" s="791">
        <v>0.2</v>
      </c>
      <c r="F6" s="792"/>
      <c r="G6" s="791">
        <v>0.2</v>
      </c>
      <c r="H6" s="792"/>
      <c r="I6" s="791">
        <v>0.3</v>
      </c>
      <c r="J6" s="792"/>
      <c r="K6" s="688">
        <f>SUM(C6:J6)</f>
        <v>1</v>
      </c>
      <c r="L6" s="121"/>
      <c r="N6" s="123">
        <f>SUM(C6:J6)</f>
        <v>1</v>
      </c>
    </row>
    <row r="7" spans="1:14" ht="24.95" customHeight="1">
      <c r="A7" s="89" t="s">
        <v>75</v>
      </c>
      <c r="B7" s="793" t="s">
        <v>215</v>
      </c>
      <c r="C7" s="676"/>
      <c r="D7" s="675"/>
      <c r="E7" s="676"/>
      <c r="F7" s="675"/>
      <c r="G7" s="676"/>
      <c r="H7" s="675"/>
      <c r="I7" s="676"/>
      <c r="J7" s="675"/>
      <c r="K7" s="122"/>
      <c r="L7" s="121"/>
      <c r="M7" s="121"/>
    </row>
    <row r="8" spans="1:14" ht="24.95" customHeight="1">
      <c r="A8" s="91"/>
      <c r="B8" s="794"/>
      <c r="C8" s="766">
        <f>M8*C6</f>
        <v>14302.608</v>
      </c>
      <c r="D8" s="767"/>
      <c r="E8" s="766">
        <f>M8*E6</f>
        <v>9535.0720000000001</v>
      </c>
      <c r="F8" s="767"/>
      <c r="G8" s="766">
        <f>M8*G6</f>
        <v>9535.0720000000001</v>
      </c>
      <c r="H8" s="767"/>
      <c r="I8" s="766">
        <f>M8*I6</f>
        <v>14302.608</v>
      </c>
      <c r="J8" s="767"/>
      <c r="K8" s="126">
        <f>SUM(C8:J8)</f>
        <v>47675.360000000001</v>
      </c>
      <c r="L8" s="121"/>
      <c r="M8" s="125">
        <f>'RESUMO SERVIÇOS'!H17</f>
        <v>47675.360000000001</v>
      </c>
      <c r="N8" s="121"/>
    </row>
    <row r="9" spans="1:14" ht="24.95" customHeight="1">
      <c r="A9" s="92"/>
      <c r="B9" s="93"/>
      <c r="C9" s="777">
        <v>0.2</v>
      </c>
      <c r="D9" s="778"/>
      <c r="E9" s="777">
        <v>0.3</v>
      </c>
      <c r="F9" s="778"/>
      <c r="G9" s="777">
        <v>0.3</v>
      </c>
      <c r="H9" s="778"/>
      <c r="I9" s="777">
        <v>0.2</v>
      </c>
      <c r="J9" s="778"/>
      <c r="K9" s="689">
        <f>SUM(C9:J9)</f>
        <v>1</v>
      </c>
      <c r="L9" s="121"/>
      <c r="M9" s="121"/>
      <c r="N9" s="123">
        <f>SUM(C9:J9)</f>
        <v>1</v>
      </c>
    </row>
    <row r="10" spans="1:14" ht="24.95" customHeight="1">
      <c r="A10" s="89" t="s">
        <v>76</v>
      </c>
      <c r="B10" s="90" t="s">
        <v>77</v>
      </c>
      <c r="C10" s="677"/>
      <c r="D10" s="675"/>
      <c r="E10" s="676"/>
      <c r="F10" s="675"/>
      <c r="G10" s="676"/>
      <c r="H10" s="675"/>
      <c r="I10" s="676"/>
      <c r="J10" s="675"/>
      <c r="K10" s="122"/>
      <c r="L10" s="121"/>
      <c r="M10" s="121" t="s">
        <v>8</v>
      </c>
    </row>
    <row r="11" spans="1:14" ht="24.95" customHeight="1">
      <c r="A11" s="91"/>
      <c r="B11" s="96"/>
      <c r="C11" s="766">
        <f>M11*C9</f>
        <v>31510.277999999998</v>
      </c>
      <c r="D11" s="767"/>
      <c r="E11" s="766">
        <f>E9*$M$11</f>
        <v>47265.416999999994</v>
      </c>
      <c r="F11" s="767"/>
      <c r="G11" s="766">
        <f>G9*$M$11</f>
        <v>47265.416999999994</v>
      </c>
      <c r="H11" s="767"/>
      <c r="I11" s="766">
        <f>I9*$M$11</f>
        <v>31510.277999999998</v>
      </c>
      <c r="J11" s="767"/>
      <c r="K11" s="122">
        <f>SUM(C11:J11)</f>
        <v>157551.38999999998</v>
      </c>
      <c r="L11" s="121"/>
      <c r="M11" s="125">
        <f>'RESUMO SERVIÇOS'!H9</f>
        <v>157551.38999999998</v>
      </c>
      <c r="N11" s="121"/>
    </row>
    <row r="12" spans="1:14" ht="24.95" customHeight="1">
      <c r="A12" s="92"/>
      <c r="B12" s="93"/>
      <c r="C12" s="751"/>
      <c r="D12" s="752">
        <v>0.05</v>
      </c>
      <c r="E12" s="762">
        <v>0.35</v>
      </c>
      <c r="F12" s="763"/>
      <c r="G12" s="762">
        <v>0.35</v>
      </c>
      <c r="H12" s="763"/>
      <c r="I12" s="762">
        <v>0.25</v>
      </c>
      <c r="J12" s="763"/>
      <c r="K12" s="689">
        <f>SUM(C12:J12)</f>
        <v>1</v>
      </c>
      <c r="L12" s="121"/>
      <c r="M12" s="121"/>
      <c r="N12" s="123">
        <f>SUM(C12:J12)</f>
        <v>1</v>
      </c>
    </row>
    <row r="13" spans="1:14" ht="24.95" customHeight="1">
      <c r="A13" s="89" t="s">
        <v>78</v>
      </c>
      <c r="B13" s="90" t="s">
        <v>79</v>
      </c>
      <c r="C13" s="94"/>
      <c r="D13" s="675"/>
      <c r="E13" s="677"/>
      <c r="F13" s="675"/>
      <c r="G13" s="686"/>
      <c r="H13" s="675"/>
      <c r="I13" s="686"/>
      <c r="J13" s="675"/>
      <c r="K13" s="126"/>
      <c r="L13" s="121"/>
      <c r="M13" s="121" t="s">
        <v>8</v>
      </c>
    </row>
    <row r="14" spans="1:14" ht="24.95" customHeight="1">
      <c r="A14" s="91"/>
      <c r="B14" s="96"/>
      <c r="C14" s="766">
        <f>M14*D12</f>
        <v>55052.140999999996</v>
      </c>
      <c r="D14" s="767"/>
      <c r="E14" s="766">
        <f>M14*E12</f>
        <v>385364.98699999991</v>
      </c>
      <c r="F14" s="767"/>
      <c r="G14" s="766">
        <f>G12*$M$14</f>
        <v>385364.98699999991</v>
      </c>
      <c r="H14" s="767"/>
      <c r="I14" s="766">
        <f>I12*$M$14</f>
        <v>275260.70499999996</v>
      </c>
      <c r="J14" s="767"/>
      <c r="K14" s="124">
        <f>SUM(C14:J14)</f>
        <v>1101042.8199999998</v>
      </c>
      <c r="L14" s="121"/>
      <c r="M14" s="125">
        <f>'RESUMO SERVIÇOS'!H11</f>
        <v>1101042.8199999998</v>
      </c>
      <c r="N14" s="121"/>
    </row>
    <row r="15" spans="1:14" ht="24.95" customHeight="1">
      <c r="A15" s="92"/>
      <c r="B15" s="93"/>
      <c r="C15" s="751"/>
      <c r="D15" s="752">
        <v>0.05</v>
      </c>
      <c r="E15" s="762">
        <v>0.35</v>
      </c>
      <c r="F15" s="763"/>
      <c r="G15" s="762">
        <v>0.35</v>
      </c>
      <c r="H15" s="763"/>
      <c r="I15" s="762">
        <v>0.25</v>
      </c>
      <c r="J15" s="763"/>
      <c r="K15" s="689">
        <f>SUM(C15:J15)</f>
        <v>1</v>
      </c>
      <c r="L15" s="121"/>
      <c r="M15" s="121"/>
      <c r="N15" s="123">
        <f>SUM(C15:J15)</f>
        <v>1</v>
      </c>
    </row>
    <row r="16" spans="1:14" ht="24.95" customHeight="1">
      <c r="A16" s="89" t="s">
        <v>80</v>
      </c>
      <c r="B16" s="90" t="s">
        <v>193</v>
      </c>
      <c r="C16" s="94"/>
      <c r="D16" s="675"/>
      <c r="E16" s="686"/>
      <c r="F16" s="675"/>
      <c r="G16" s="686"/>
      <c r="H16" s="675"/>
      <c r="I16" s="676"/>
      <c r="J16" s="675"/>
      <c r="K16" s="122"/>
      <c r="L16" s="121"/>
      <c r="M16" s="121" t="s">
        <v>8</v>
      </c>
    </row>
    <row r="17" spans="1:14" ht="24.95" customHeight="1">
      <c r="A17" s="91"/>
      <c r="B17" s="96"/>
      <c r="C17" s="766">
        <f>M17*D15</f>
        <v>8581.8365000000013</v>
      </c>
      <c r="D17" s="767"/>
      <c r="E17" s="766">
        <f>E15*$M$17</f>
        <v>60072.855499999998</v>
      </c>
      <c r="F17" s="767"/>
      <c r="G17" s="766">
        <f>G15*$M$17</f>
        <v>60072.855499999998</v>
      </c>
      <c r="H17" s="767"/>
      <c r="I17" s="766">
        <f>I15*$M$17</f>
        <v>42909.182500000003</v>
      </c>
      <c r="J17" s="767"/>
      <c r="K17" s="122">
        <f>SUM(C17:J17)</f>
        <v>171636.72999999998</v>
      </c>
      <c r="L17" s="121"/>
      <c r="M17" s="125">
        <f>'RESUMO SERVIÇOS'!H13</f>
        <v>171636.73</v>
      </c>
      <c r="N17" s="121"/>
    </row>
    <row r="18" spans="1:14" ht="24.95" customHeight="1">
      <c r="A18" s="92"/>
      <c r="B18" s="93"/>
      <c r="C18" s="751"/>
      <c r="D18" s="752"/>
      <c r="E18" s="751"/>
      <c r="F18" s="752"/>
      <c r="G18" s="762"/>
      <c r="H18" s="763"/>
      <c r="I18" s="762">
        <v>1</v>
      </c>
      <c r="J18" s="763"/>
      <c r="K18" s="689">
        <f>SUM(C18:J18)</f>
        <v>1</v>
      </c>
      <c r="L18" s="121"/>
      <c r="M18" s="121"/>
      <c r="N18" s="123">
        <f>SUM(C18:J18)</f>
        <v>1</v>
      </c>
    </row>
    <row r="19" spans="1:14" ht="24.95" customHeight="1">
      <c r="A19" s="89" t="s">
        <v>81</v>
      </c>
      <c r="B19" s="90" t="s">
        <v>194</v>
      </c>
      <c r="C19" s="94"/>
      <c r="D19" s="97"/>
      <c r="E19" s="94"/>
      <c r="F19" s="97"/>
      <c r="G19" s="687"/>
      <c r="H19" s="95"/>
      <c r="I19" s="676"/>
      <c r="J19" s="675"/>
      <c r="K19" s="122"/>
      <c r="L19" s="121"/>
      <c r="M19" s="121" t="s">
        <v>8</v>
      </c>
    </row>
    <row r="20" spans="1:14" ht="24.95" customHeight="1" thickBot="1">
      <c r="A20" s="89"/>
      <c r="B20" s="90"/>
      <c r="C20" s="764"/>
      <c r="D20" s="765"/>
      <c r="E20" s="764"/>
      <c r="F20" s="765"/>
      <c r="G20" s="764"/>
      <c r="H20" s="765"/>
      <c r="I20" s="766">
        <f>I18*$M$20</f>
        <v>24600.560000000001</v>
      </c>
      <c r="J20" s="767"/>
      <c r="K20" s="122">
        <f>SUM(C20:J20)</f>
        <v>24600.560000000001</v>
      </c>
      <c r="L20" s="121"/>
      <c r="M20" s="125">
        <f>'RESUMO SERVIÇOS'!H15</f>
        <v>24600.560000000001</v>
      </c>
      <c r="N20" s="121"/>
    </row>
    <row r="21" spans="1:14" ht="24.95" customHeight="1">
      <c r="A21" s="768" t="s">
        <v>195</v>
      </c>
      <c r="B21" s="769"/>
      <c r="C21" s="753">
        <f>C22/$M$24</f>
        <v>7.2842837802417765E-2</v>
      </c>
      <c r="D21" s="757"/>
      <c r="E21" s="753">
        <f>E22/$M$24</f>
        <v>0.33426691409581982</v>
      </c>
      <c r="F21" s="757"/>
      <c r="G21" s="753">
        <f>G22/$M$24</f>
        <v>0.33426691409581982</v>
      </c>
      <c r="H21" s="757"/>
      <c r="I21" s="753">
        <f>I22/$M$24</f>
        <v>0.25862333400594256</v>
      </c>
      <c r="J21" s="757"/>
      <c r="K21" s="673"/>
      <c r="L21" s="121"/>
      <c r="M21" s="121"/>
      <c r="N21" s="121"/>
    </row>
    <row r="22" spans="1:14" ht="24.95" customHeight="1" thickBot="1">
      <c r="A22" s="760"/>
      <c r="B22" s="770"/>
      <c r="C22" s="755">
        <f>C8+C11+C14+C17+C20</f>
        <v>109446.86350000001</v>
      </c>
      <c r="D22" s="756"/>
      <c r="E22" s="755">
        <f>E8+E11+E14+E17+E20</f>
        <v>502238.33149999991</v>
      </c>
      <c r="F22" s="756"/>
      <c r="G22" s="755">
        <f>G8+G11+G14+G17+G20</f>
        <v>502238.33149999991</v>
      </c>
      <c r="H22" s="756"/>
      <c r="I22" s="755">
        <f>I8+I11+I14+I17+I20</f>
        <v>388583.33349999995</v>
      </c>
      <c r="J22" s="756"/>
      <c r="K22" s="555" t="s">
        <v>8</v>
      </c>
      <c r="L22" s="121"/>
      <c r="M22" s="125" t="s">
        <v>8</v>
      </c>
      <c r="N22" s="121"/>
    </row>
    <row r="23" spans="1:14" ht="24.95" customHeight="1">
      <c r="A23" s="758" t="s">
        <v>196</v>
      </c>
      <c r="B23" s="759"/>
      <c r="C23" s="753">
        <f>C21</f>
        <v>7.2842837802417765E-2</v>
      </c>
      <c r="D23" s="754"/>
      <c r="E23" s="753">
        <f>C23+E21</f>
        <v>0.40710975189823762</v>
      </c>
      <c r="F23" s="754"/>
      <c r="G23" s="753">
        <f>E23+G21</f>
        <v>0.74137666599405749</v>
      </c>
      <c r="H23" s="754"/>
      <c r="I23" s="753">
        <f>G23+I21</f>
        <v>1</v>
      </c>
      <c r="J23" s="754"/>
      <c r="K23" s="556" t="s">
        <v>8</v>
      </c>
      <c r="L23" s="121"/>
      <c r="M23" s="121"/>
      <c r="N23" s="121"/>
    </row>
    <row r="24" spans="1:14" ht="24.95" customHeight="1" thickBot="1">
      <c r="A24" s="760"/>
      <c r="B24" s="761"/>
      <c r="C24" s="755">
        <f>C22</f>
        <v>109446.86350000001</v>
      </c>
      <c r="D24" s="756"/>
      <c r="E24" s="755">
        <f>C24+E22</f>
        <v>611685.19499999995</v>
      </c>
      <c r="F24" s="756"/>
      <c r="G24" s="755">
        <f>E24+G22</f>
        <v>1113923.5264999999</v>
      </c>
      <c r="H24" s="756"/>
      <c r="I24" s="755">
        <f>G24+I22</f>
        <v>1502506.8599999999</v>
      </c>
      <c r="J24" s="756"/>
      <c r="K24" s="557"/>
      <c r="L24" s="121"/>
      <c r="M24" s="125">
        <f>SUM(M6:M23)</f>
        <v>1502506.8599999999</v>
      </c>
      <c r="N24" s="121"/>
    </row>
    <row r="25" spans="1:14" ht="21.95" customHeight="1">
      <c r="A25" s="121"/>
      <c r="B25" s="121"/>
      <c r="C25" s="121"/>
      <c r="D25" s="121"/>
      <c r="E25" s="121"/>
      <c r="F25" s="121"/>
      <c r="G25" s="121"/>
      <c r="H25" s="121"/>
      <c r="I25" s="121"/>
      <c r="J25" s="121"/>
      <c r="K25" s="121"/>
      <c r="L25" s="121"/>
      <c r="M25" s="121"/>
      <c r="N25" s="121"/>
    </row>
    <row r="26" spans="1:14" ht="15">
      <c r="A26" s="121"/>
      <c r="B26" s="121"/>
      <c r="C26" s="121"/>
      <c r="D26" s="121"/>
      <c r="E26" s="121"/>
      <c r="F26" s="121"/>
      <c r="G26" s="121"/>
      <c r="H26" s="121"/>
      <c r="I26" s="121"/>
      <c r="J26" s="121"/>
      <c r="K26" s="121"/>
      <c r="L26" s="121"/>
      <c r="M26" s="674" t="s">
        <v>8</v>
      </c>
      <c r="N26" s="121"/>
    </row>
  </sheetData>
  <mergeCells count="65">
    <mergeCell ref="B7:B8"/>
    <mergeCell ref="C8:D8"/>
    <mergeCell ref="E8:F8"/>
    <mergeCell ref="G8:H8"/>
    <mergeCell ref="E9:F9"/>
    <mergeCell ref="G9:H9"/>
    <mergeCell ref="C6:D6"/>
    <mergeCell ref="E6:F6"/>
    <mergeCell ref="G6:H6"/>
    <mergeCell ref="I6:J6"/>
    <mergeCell ref="C9:D9"/>
    <mergeCell ref="C11:D11"/>
    <mergeCell ref="E11:F11"/>
    <mergeCell ref="G11:H11"/>
    <mergeCell ref="I11:J11"/>
    <mergeCell ref="A1:K1"/>
    <mergeCell ref="A2:K2"/>
    <mergeCell ref="I9:J9"/>
    <mergeCell ref="A4:A5"/>
    <mergeCell ref="B4:B5"/>
    <mergeCell ref="C4:J4"/>
    <mergeCell ref="K4:K5"/>
    <mergeCell ref="C5:D5"/>
    <mergeCell ref="E5:F5"/>
    <mergeCell ref="G5:H5"/>
    <mergeCell ref="I5:J5"/>
    <mergeCell ref="I8:J8"/>
    <mergeCell ref="C14:D14"/>
    <mergeCell ref="E14:F14"/>
    <mergeCell ref="G14:H14"/>
    <mergeCell ref="I14:J14"/>
    <mergeCell ref="G12:H12"/>
    <mergeCell ref="I12:J12"/>
    <mergeCell ref="E12:F12"/>
    <mergeCell ref="E15:F15"/>
    <mergeCell ref="G15:H15"/>
    <mergeCell ref="I15:J15"/>
    <mergeCell ref="C17:D17"/>
    <mergeCell ref="E17:F17"/>
    <mergeCell ref="G17:H17"/>
    <mergeCell ref="I17:J17"/>
    <mergeCell ref="A23:B24"/>
    <mergeCell ref="G18:H18"/>
    <mergeCell ref="I18:J18"/>
    <mergeCell ref="C20:D20"/>
    <mergeCell ref="E20:F20"/>
    <mergeCell ref="G20:H20"/>
    <mergeCell ref="I20:J20"/>
    <mergeCell ref="A21:B22"/>
    <mergeCell ref="C21:D21"/>
    <mergeCell ref="C22:D22"/>
    <mergeCell ref="E21:F21"/>
    <mergeCell ref="E22:F22"/>
    <mergeCell ref="I21:J21"/>
    <mergeCell ref="I22:J22"/>
    <mergeCell ref="I24:J24"/>
    <mergeCell ref="G24:H24"/>
    <mergeCell ref="I23:J23"/>
    <mergeCell ref="E24:F24"/>
    <mergeCell ref="G21:H21"/>
    <mergeCell ref="G22:H22"/>
    <mergeCell ref="C24:D24"/>
    <mergeCell ref="C23:D23"/>
    <mergeCell ref="E23:F23"/>
    <mergeCell ref="G23:H23"/>
  </mergeCells>
  <printOptions horizontalCentered="1"/>
  <pageMargins left="1.1811023622047245" right="1.1811023622047245" top="1.3779527559055118" bottom="0.98425196850393704" header="0.31496062992125984" footer="0.31496062992125984"/>
  <pageSetup paperSize="9" scale="68" orientation="landscape" horizontalDpi="1200" verticalDpi="1200" r:id="rId1"/>
</worksheet>
</file>

<file path=xl/worksheets/sheet10.xml><?xml version="1.0" encoding="utf-8"?>
<worksheet xmlns="http://schemas.openxmlformats.org/spreadsheetml/2006/main" xmlns:r="http://schemas.openxmlformats.org/officeDocument/2006/relationships">
  <sheetPr codeName="Plan2"/>
  <dimension ref="A1:S64"/>
  <sheetViews>
    <sheetView workbookViewId="0"/>
  </sheetViews>
  <sheetFormatPr defaultRowHeight="12.75"/>
  <cols>
    <col min="1" max="1" width="2.7109375" style="235" customWidth="1"/>
    <col min="2" max="3" width="6" style="235" customWidth="1"/>
    <col min="4" max="4" width="34.7109375" style="235" customWidth="1"/>
    <col min="5" max="5" width="11.28515625" style="235" customWidth="1"/>
    <col min="6" max="6" width="11" style="236" customWidth="1"/>
    <col min="7" max="7" width="9.140625" style="235"/>
    <col min="8" max="8" width="1.5703125" style="235" customWidth="1"/>
    <col min="9" max="14" width="0" style="235" hidden="1" customWidth="1"/>
    <col min="15" max="256" width="9.140625" style="235"/>
    <col min="257" max="257" width="2.7109375" style="235" customWidth="1"/>
    <col min="258" max="259" width="6" style="235" customWidth="1"/>
    <col min="260" max="260" width="34.7109375" style="235" customWidth="1"/>
    <col min="261" max="261" width="11.28515625" style="235" customWidth="1"/>
    <col min="262" max="262" width="11" style="235" customWidth="1"/>
    <col min="263" max="263" width="9.140625" style="235"/>
    <col min="264" max="264" width="1.5703125" style="235" customWidth="1"/>
    <col min="265" max="270" width="0" style="235" hidden="1" customWidth="1"/>
    <col min="271" max="512" width="9.140625" style="235"/>
    <col min="513" max="513" width="2.7109375" style="235" customWidth="1"/>
    <col min="514" max="515" width="6" style="235" customWidth="1"/>
    <col min="516" max="516" width="34.7109375" style="235" customWidth="1"/>
    <col min="517" max="517" width="11.28515625" style="235" customWidth="1"/>
    <col min="518" max="518" width="11" style="235" customWidth="1"/>
    <col min="519" max="519" width="9.140625" style="235"/>
    <col min="520" max="520" width="1.5703125" style="235" customWidth="1"/>
    <col min="521" max="526" width="0" style="235" hidden="1" customWidth="1"/>
    <col min="527" max="768" width="9.140625" style="235"/>
    <col min="769" max="769" width="2.7109375" style="235" customWidth="1"/>
    <col min="770" max="771" width="6" style="235" customWidth="1"/>
    <col min="772" max="772" width="34.7109375" style="235" customWidth="1"/>
    <col min="773" max="773" width="11.28515625" style="235" customWidth="1"/>
    <col min="774" max="774" width="11" style="235" customWidth="1"/>
    <col min="775" max="775" width="9.140625" style="235"/>
    <col min="776" max="776" width="1.5703125" style="235" customWidth="1"/>
    <col min="777" max="782" width="0" style="235" hidden="1" customWidth="1"/>
    <col min="783" max="1024" width="9.140625" style="235"/>
    <col min="1025" max="1025" width="2.7109375" style="235" customWidth="1"/>
    <col min="1026" max="1027" width="6" style="235" customWidth="1"/>
    <col min="1028" max="1028" width="34.7109375" style="235" customWidth="1"/>
    <col min="1029" max="1029" width="11.28515625" style="235" customWidth="1"/>
    <col min="1030" max="1030" width="11" style="235" customWidth="1"/>
    <col min="1031" max="1031" width="9.140625" style="235"/>
    <col min="1032" max="1032" width="1.5703125" style="235" customWidth="1"/>
    <col min="1033" max="1038" width="0" style="235" hidden="1" customWidth="1"/>
    <col min="1039" max="1280" width="9.140625" style="235"/>
    <col min="1281" max="1281" width="2.7109375" style="235" customWidth="1"/>
    <col min="1282" max="1283" width="6" style="235" customWidth="1"/>
    <col min="1284" max="1284" width="34.7109375" style="235" customWidth="1"/>
    <col min="1285" max="1285" width="11.28515625" style="235" customWidth="1"/>
    <col min="1286" max="1286" width="11" style="235" customWidth="1"/>
    <col min="1287" max="1287" width="9.140625" style="235"/>
    <col min="1288" max="1288" width="1.5703125" style="235" customWidth="1"/>
    <col min="1289" max="1294" width="0" style="235" hidden="1" customWidth="1"/>
    <col min="1295" max="1536" width="9.140625" style="235"/>
    <col min="1537" max="1537" width="2.7109375" style="235" customWidth="1"/>
    <col min="1538" max="1539" width="6" style="235" customWidth="1"/>
    <col min="1540" max="1540" width="34.7109375" style="235" customWidth="1"/>
    <col min="1541" max="1541" width="11.28515625" style="235" customWidth="1"/>
    <col min="1542" max="1542" width="11" style="235" customWidth="1"/>
    <col min="1543" max="1543" width="9.140625" style="235"/>
    <col min="1544" max="1544" width="1.5703125" style="235" customWidth="1"/>
    <col min="1545" max="1550" width="0" style="235" hidden="1" customWidth="1"/>
    <col min="1551" max="1792" width="9.140625" style="235"/>
    <col min="1793" max="1793" width="2.7109375" style="235" customWidth="1"/>
    <col min="1794" max="1795" width="6" style="235" customWidth="1"/>
    <col min="1796" max="1796" width="34.7109375" style="235" customWidth="1"/>
    <col min="1797" max="1797" width="11.28515625" style="235" customWidth="1"/>
    <col min="1798" max="1798" width="11" style="235" customWidth="1"/>
    <col min="1799" max="1799" width="9.140625" style="235"/>
    <col min="1800" max="1800" width="1.5703125" style="235" customWidth="1"/>
    <col min="1801" max="1806" width="0" style="235" hidden="1" customWidth="1"/>
    <col min="1807" max="2048" width="9.140625" style="235"/>
    <col min="2049" max="2049" width="2.7109375" style="235" customWidth="1"/>
    <col min="2050" max="2051" width="6" style="235" customWidth="1"/>
    <col min="2052" max="2052" width="34.7109375" style="235" customWidth="1"/>
    <col min="2053" max="2053" width="11.28515625" style="235" customWidth="1"/>
    <col min="2054" max="2054" width="11" style="235" customWidth="1"/>
    <col min="2055" max="2055" width="9.140625" style="235"/>
    <col min="2056" max="2056" width="1.5703125" style="235" customWidth="1"/>
    <col min="2057" max="2062" width="0" style="235" hidden="1" customWidth="1"/>
    <col min="2063" max="2304" width="9.140625" style="235"/>
    <col min="2305" max="2305" width="2.7109375" style="235" customWidth="1"/>
    <col min="2306" max="2307" width="6" style="235" customWidth="1"/>
    <col min="2308" max="2308" width="34.7109375" style="235" customWidth="1"/>
    <col min="2309" max="2309" width="11.28515625" style="235" customWidth="1"/>
    <col min="2310" max="2310" width="11" style="235" customWidth="1"/>
    <col min="2311" max="2311" width="9.140625" style="235"/>
    <col min="2312" max="2312" width="1.5703125" style="235" customWidth="1"/>
    <col min="2313" max="2318" width="0" style="235" hidden="1" customWidth="1"/>
    <col min="2319" max="2560" width="9.140625" style="235"/>
    <col min="2561" max="2561" width="2.7109375" style="235" customWidth="1"/>
    <col min="2562" max="2563" width="6" style="235" customWidth="1"/>
    <col min="2564" max="2564" width="34.7109375" style="235" customWidth="1"/>
    <col min="2565" max="2565" width="11.28515625" style="235" customWidth="1"/>
    <col min="2566" max="2566" width="11" style="235" customWidth="1"/>
    <col min="2567" max="2567" width="9.140625" style="235"/>
    <col min="2568" max="2568" width="1.5703125" style="235" customWidth="1"/>
    <col min="2569" max="2574" width="0" style="235" hidden="1" customWidth="1"/>
    <col min="2575" max="2816" width="9.140625" style="235"/>
    <col min="2817" max="2817" width="2.7109375" style="235" customWidth="1"/>
    <col min="2818" max="2819" width="6" style="235" customWidth="1"/>
    <col min="2820" max="2820" width="34.7109375" style="235" customWidth="1"/>
    <col min="2821" max="2821" width="11.28515625" style="235" customWidth="1"/>
    <col min="2822" max="2822" width="11" style="235" customWidth="1"/>
    <col min="2823" max="2823" width="9.140625" style="235"/>
    <col min="2824" max="2824" width="1.5703125" style="235" customWidth="1"/>
    <col min="2825" max="2830" width="0" style="235" hidden="1" customWidth="1"/>
    <col min="2831" max="3072" width="9.140625" style="235"/>
    <col min="3073" max="3073" width="2.7109375" style="235" customWidth="1"/>
    <col min="3074" max="3075" width="6" style="235" customWidth="1"/>
    <col min="3076" max="3076" width="34.7109375" style="235" customWidth="1"/>
    <col min="3077" max="3077" width="11.28515625" style="235" customWidth="1"/>
    <col min="3078" max="3078" width="11" style="235" customWidth="1"/>
    <col min="3079" max="3079" width="9.140625" style="235"/>
    <col min="3080" max="3080" width="1.5703125" style="235" customWidth="1"/>
    <col min="3081" max="3086" width="0" style="235" hidden="1" customWidth="1"/>
    <col min="3087" max="3328" width="9.140625" style="235"/>
    <col min="3329" max="3329" width="2.7109375" style="235" customWidth="1"/>
    <col min="3330" max="3331" width="6" style="235" customWidth="1"/>
    <col min="3332" max="3332" width="34.7109375" style="235" customWidth="1"/>
    <col min="3333" max="3333" width="11.28515625" style="235" customWidth="1"/>
    <col min="3334" max="3334" width="11" style="235" customWidth="1"/>
    <col min="3335" max="3335" width="9.140625" style="235"/>
    <col min="3336" max="3336" width="1.5703125" style="235" customWidth="1"/>
    <col min="3337" max="3342" width="0" style="235" hidden="1" customWidth="1"/>
    <col min="3343" max="3584" width="9.140625" style="235"/>
    <col min="3585" max="3585" width="2.7109375" style="235" customWidth="1"/>
    <col min="3586" max="3587" width="6" style="235" customWidth="1"/>
    <col min="3588" max="3588" width="34.7109375" style="235" customWidth="1"/>
    <col min="3589" max="3589" width="11.28515625" style="235" customWidth="1"/>
    <col min="3590" max="3590" width="11" style="235" customWidth="1"/>
    <col min="3591" max="3591" width="9.140625" style="235"/>
    <col min="3592" max="3592" width="1.5703125" style="235" customWidth="1"/>
    <col min="3593" max="3598" width="0" style="235" hidden="1" customWidth="1"/>
    <col min="3599" max="3840" width="9.140625" style="235"/>
    <col min="3841" max="3841" width="2.7109375" style="235" customWidth="1"/>
    <col min="3842" max="3843" width="6" style="235" customWidth="1"/>
    <col min="3844" max="3844" width="34.7109375" style="235" customWidth="1"/>
    <col min="3845" max="3845" width="11.28515625" style="235" customWidth="1"/>
    <col min="3846" max="3846" width="11" style="235" customWidth="1"/>
    <col min="3847" max="3847" width="9.140625" style="235"/>
    <col min="3848" max="3848" width="1.5703125" style="235" customWidth="1"/>
    <col min="3849" max="3854" width="0" style="235" hidden="1" customWidth="1"/>
    <col min="3855" max="4096" width="9.140625" style="235"/>
    <col min="4097" max="4097" width="2.7109375" style="235" customWidth="1"/>
    <col min="4098" max="4099" width="6" style="235" customWidth="1"/>
    <col min="4100" max="4100" width="34.7109375" style="235" customWidth="1"/>
    <col min="4101" max="4101" width="11.28515625" style="235" customWidth="1"/>
    <col min="4102" max="4102" width="11" style="235" customWidth="1"/>
    <col min="4103" max="4103" width="9.140625" style="235"/>
    <col min="4104" max="4104" width="1.5703125" style="235" customWidth="1"/>
    <col min="4105" max="4110" width="0" style="235" hidden="1" customWidth="1"/>
    <col min="4111" max="4352" width="9.140625" style="235"/>
    <col min="4353" max="4353" width="2.7109375" style="235" customWidth="1"/>
    <col min="4354" max="4355" width="6" style="235" customWidth="1"/>
    <col min="4356" max="4356" width="34.7109375" style="235" customWidth="1"/>
    <col min="4357" max="4357" width="11.28515625" style="235" customWidth="1"/>
    <col min="4358" max="4358" width="11" style="235" customWidth="1"/>
    <col min="4359" max="4359" width="9.140625" style="235"/>
    <col min="4360" max="4360" width="1.5703125" style="235" customWidth="1"/>
    <col min="4361" max="4366" width="0" style="235" hidden="1" customWidth="1"/>
    <col min="4367" max="4608" width="9.140625" style="235"/>
    <col min="4609" max="4609" width="2.7109375" style="235" customWidth="1"/>
    <col min="4610" max="4611" width="6" style="235" customWidth="1"/>
    <col min="4612" max="4612" width="34.7109375" style="235" customWidth="1"/>
    <col min="4613" max="4613" width="11.28515625" style="235" customWidth="1"/>
    <col min="4614" max="4614" width="11" style="235" customWidth="1"/>
    <col min="4615" max="4615" width="9.140625" style="235"/>
    <col min="4616" max="4616" width="1.5703125" style="235" customWidth="1"/>
    <col min="4617" max="4622" width="0" style="235" hidden="1" customWidth="1"/>
    <col min="4623" max="4864" width="9.140625" style="235"/>
    <col min="4865" max="4865" width="2.7109375" style="235" customWidth="1"/>
    <col min="4866" max="4867" width="6" style="235" customWidth="1"/>
    <col min="4868" max="4868" width="34.7109375" style="235" customWidth="1"/>
    <col min="4869" max="4869" width="11.28515625" style="235" customWidth="1"/>
    <col min="4870" max="4870" width="11" style="235" customWidth="1"/>
    <col min="4871" max="4871" width="9.140625" style="235"/>
    <col min="4872" max="4872" width="1.5703125" style="235" customWidth="1"/>
    <col min="4873" max="4878" width="0" style="235" hidden="1" customWidth="1"/>
    <col min="4879" max="5120" width="9.140625" style="235"/>
    <col min="5121" max="5121" width="2.7109375" style="235" customWidth="1"/>
    <col min="5122" max="5123" width="6" style="235" customWidth="1"/>
    <col min="5124" max="5124" width="34.7109375" style="235" customWidth="1"/>
    <col min="5125" max="5125" width="11.28515625" style="235" customWidth="1"/>
    <col min="5126" max="5126" width="11" style="235" customWidth="1"/>
    <col min="5127" max="5127" width="9.140625" style="235"/>
    <col min="5128" max="5128" width="1.5703125" style="235" customWidth="1"/>
    <col min="5129" max="5134" width="0" style="235" hidden="1" customWidth="1"/>
    <col min="5135" max="5376" width="9.140625" style="235"/>
    <col min="5377" max="5377" width="2.7109375" style="235" customWidth="1"/>
    <col min="5378" max="5379" width="6" style="235" customWidth="1"/>
    <col min="5380" max="5380" width="34.7109375" style="235" customWidth="1"/>
    <col min="5381" max="5381" width="11.28515625" style="235" customWidth="1"/>
    <col min="5382" max="5382" width="11" style="235" customWidth="1"/>
    <col min="5383" max="5383" width="9.140625" style="235"/>
    <col min="5384" max="5384" width="1.5703125" style="235" customWidth="1"/>
    <col min="5385" max="5390" width="0" style="235" hidden="1" customWidth="1"/>
    <col min="5391" max="5632" width="9.140625" style="235"/>
    <col min="5633" max="5633" width="2.7109375" style="235" customWidth="1"/>
    <col min="5634" max="5635" width="6" style="235" customWidth="1"/>
    <col min="5636" max="5636" width="34.7109375" style="235" customWidth="1"/>
    <col min="5637" max="5637" width="11.28515625" style="235" customWidth="1"/>
    <col min="5638" max="5638" width="11" style="235" customWidth="1"/>
    <col min="5639" max="5639" width="9.140625" style="235"/>
    <col min="5640" max="5640" width="1.5703125" style="235" customWidth="1"/>
    <col min="5641" max="5646" width="0" style="235" hidden="1" customWidth="1"/>
    <col min="5647" max="5888" width="9.140625" style="235"/>
    <col min="5889" max="5889" width="2.7109375" style="235" customWidth="1"/>
    <col min="5890" max="5891" width="6" style="235" customWidth="1"/>
    <col min="5892" max="5892" width="34.7109375" style="235" customWidth="1"/>
    <col min="5893" max="5893" width="11.28515625" style="235" customWidth="1"/>
    <col min="5894" max="5894" width="11" style="235" customWidth="1"/>
    <col min="5895" max="5895" width="9.140625" style="235"/>
    <col min="5896" max="5896" width="1.5703125" style="235" customWidth="1"/>
    <col min="5897" max="5902" width="0" style="235" hidden="1" customWidth="1"/>
    <col min="5903" max="6144" width="9.140625" style="235"/>
    <col min="6145" max="6145" width="2.7109375" style="235" customWidth="1"/>
    <col min="6146" max="6147" width="6" style="235" customWidth="1"/>
    <col min="6148" max="6148" width="34.7109375" style="235" customWidth="1"/>
    <col min="6149" max="6149" width="11.28515625" style="235" customWidth="1"/>
    <col min="6150" max="6150" width="11" style="235" customWidth="1"/>
    <col min="6151" max="6151" width="9.140625" style="235"/>
    <col min="6152" max="6152" width="1.5703125" style="235" customWidth="1"/>
    <col min="6153" max="6158" width="0" style="235" hidden="1" customWidth="1"/>
    <col min="6159" max="6400" width="9.140625" style="235"/>
    <col min="6401" max="6401" width="2.7109375" style="235" customWidth="1"/>
    <col min="6402" max="6403" width="6" style="235" customWidth="1"/>
    <col min="6404" max="6404" width="34.7109375" style="235" customWidth="1"/>
    <col min="6405" max="6405" width="11.28515625" style="235" customWidth="1"/>
    <col min="6406" max="6406" width="11" style="235" customWidth="1"/>
    <col min="6407" max="6407" width="9.140625" style="235"/>
    <col min="6408" max="6408" width="1.5703125" style="235" customWidth="1"/>
    <col min="6409" max="6414" width="0" style="235" hidden="1" customWidth="1"/>
    <col min="6415" max="6656" width="9.140625" style="235"/>
    <col min="6657" max="6657" width="2.7109375" style="235" customWidth="1"/>
    <col min="6658" max="6659" width="6" style="235" customWidth="1"/>
    <col min="6660" max="6660" width="34.7109375" style="235" customWidth="1"/>
    <col min="6661" max="6661" width="11.28515625" style="235" customWidth="1"/>
    <col min="6662" max="6662" width="11" style="235" customWidth="1"/>
    <col min="6663" max="6663" width="9.140625" style="235"/>
    <col min="6664" max="6664" width="1.5703125" style="235" customWidth="1"/>
    <col min="6665" max="6670" width="0" style="235" hidden="1" customWidth="1"/>
    <col min="6671" max="6912" width="9.140625" style="235"/>
    <col min="6913" max="6913" width="2.7109375" style="235" customWidth="1"/>
    <col min="6914" max="6915" width="6" style="235" customWidth="1"/>
    <col min="6916" max="6916" width="34.7109375" style="235" customWidth="1"/>
    <col min="6917" max="6917" width="11.28515625" style="235" customWidth="1"/>
    <col min="6918" max="6918" width="11" style="235" customWidth="1"/>
    <col min="6919" max="6919" width="9.140625" style="235"/>
    <col min="6920" max="6920" width="1.5703125" style="235" customWidth="1"/>
    <col min="6921" max="6926" width="0" style="235" hidden="1" customWidth="1"/>
    <col min="6927" max="7168" width="9.140625" style="235"/>
    <col min="7169" max="7169" width="2.7109375" style="235" customWidth="1"/>
    <col min="7170" max="7171" width="6" style="235" customWidth="1"/>
    <col min="7172" max="7172" width="34.7109375" style="235" customWidth="1"/>
    <col min="7173" max="7173" width="11.28515625" style="235" customWidth="1"/>
    <col min="7174" max="7174" width="11" style="235" customWidth="1"/>
    <col min="7175" max="7175" width="9.140625" style="235"/>
    <col min="7176" max="7176" width="1.5703125" style="235" customWidth="1"/>
    <col min="7177" max="7182" width="0" style="235" hidden="1" customWidth="1"/>
    <col min="7183" max="7424" width="9.140625" style="235"/>
    <col min="7425" max="7425" width="2.7109375" style="235" customWidth="1"/>
    <col min="7426" max="7427" width="6" style="235" customWidth="1"/>
    <col min="7428" max="7428" width="34.7109375" style="235" customWidth="1"/>
    <col min="7429" max="7429" width="11.28515625" style="235" customWidth="1"/>
    <col min="7430" max="7430" width="11" style="235" customWidth="1"/>
    <col min="7431" max="7431" width="9.140625" style="235"/>
    <col min="7432" max="7432" width="1.5703125" style="235" customWidth="1"/>
    <col min="7433" max="7438" width="0" style="235" hidden="1" customWidth="1"/>
    <col min="7439" max="7680" width="9.140625" style="235"/>
    <col min="7681" max="7681" width="2.7109375" style="235" customWidth="1"/>
    <col min="7682" max="7683" width="6" style="235" customWidth="1"/>
    <col min="7684" max="7684" width="34.7109375" style="235" customWidth="1"/>
    <col min="7685" max="7685" width="11.28515625" style="235" customWidth="1"/>
    <col min="7686" max="7686" width="11" style="235" customWidth="1"/>
    <col min="7687" max="7687" width="9.140625" style="235"/>
    <col min="7688" max="7688" width="1.5703125" style="235" customWidth="1"/>
    <col min="7689" max="7694" width="0" style="235" hidden="1" customWidth="1"/>
    <col min="7695" max="7936" width="9.140625" style="235"/>
    <col min="7937" max="7937" width="2.7109375" style="235" customWidth="1"/>
    <col min="7938" max="7939" width="6" style="235" customWidth="1"/>
    <col min="7940" max="7940" width="34.7109375" style="235" customWidth="1"/>
    <col min="7941" max="7941" width="11.28515625" style="235" customWidth="1"/>
    <col min="7942" max="7942" width="11" style="235" customWidth="1"/>
    <col min="7943" max="7943" width="9.140625" style="235"/>
    <col min="7944" max="7944" width="1.5703125" style="235" customWidth="1"/>
    <col min="7945" max="7950" width="0" style="235" hidden="1" customWidth="1"/>
    <col min="7951" max="8192" width="9.140625" style="235"/>
    <col min="8193" max="8193" width="2.7109375" style="235" customWidth="1"/>
    <col min="8194" max="8195" width="6" style="235" customWidth="1"/>
    <col min="8196" max="8196" width="34.7109375" style="235" customWidth="1"/>
    <col min="8197" max="8197" width="11.28515625" style="235" customWidth="1"/>
    <col min="8198" max="8198" width="11" style="235" customWidth="1"/>
    <col min="8199" max="8199" width="9.140625" style="235"/>
    <col min="8200" max="8200" width="1.5703125" style="235" customWidth="1"/>
    <col min="8201" max="8206" width="0" style="235" hidden="1" customWidth="1"/>
    <col min="8207" max="8448" width="9.140625" style="235"/>
    <col min="8449" max="8449" width="2.7109375" style="235" customWidth="1"/>
    <col min="8450" max="8451" width="6" style="235" customWidth="1"/>
    <col min="8452" max="8452" width="34.7109375" style="235" customWidth="1"/>
    <col min="8453" max="8453" width="11.28515625" style="235" customWidth="1"/>
    <col min="8454" max="8454" width="11" style="235" customWidth="1"/>
    <col min="8455" max="8455" width="9.140625" style="235"/>
    <col min="8456" max="8456" width="1.5703125" style="235" customWidth="1"/>
    <col min="8457" max="8462" width="0" style="235" hidden="1" customWidth="1"/>
    <col min="8463" max="8704" width="9.140625" style="235"/>
    <col min="8705" max="8705" width="2.7109375" style="235" customWidth="1"/>
    <col min="8706" max="8707" width="6" style="235" customWidth="1"/>
    <col min="8708" max="8708" width="34.7109375" style="235" customWidth="1"/>
    <col min="8709" max="8709" width="11.28515625" style="235" customWidth="1"/>
    <col min="8710" max="8710" width="11" style="235" customWidth="1"/>
    <col min="8711" max="8711" width="9.140625" style="235"/>
    <col min="8712" max="8712" width="1.5703125" style="235" customWidth="1"/>
    <col min="8713" max="8718" width="0" style="235" hidden="1" customWidth="1"/>
    <col min="8719" max="8960" width="9.140625" style="235"/>
    <col min="8961" max="8961" width="2.7109375" style="235" customWidth="1"/>
    <col min="8962" max="8963" width="6" style="235" customWidth="1"/>
    <col min="8964" max="8964" width="34.7109375" style="235" customWidth="1"/>
    <col min="8965" max="8965" width="11.28515625" style="235" customWidth="1"/>
    <col min="8966" max="8966" width="11" style="235" customWidth="1"/>
    <col min="8967" max="8967" width="9.140625" style="235"/>
    <col min="8968" max="8968" width="1.5703125" style="235" customWidth="1"/>
    <col min="8969" max="8974" width="0" style="235" hidden="1" customWidth="1"/>
    <col min="8975" max="9216" width="9.140625" style="235"/>
    <col min="9217" max="9217" width="2.7109375" style="235" customWidth="1"/>
    <col min="9218" max="9219" width="6" style="235" customWidth="1"/>
    <col min="9220" max="9220" width="34.7109375" style="235" customWidth="1"/>
    <col min="9221" max="9221" width="11.28515625" style="235" customWidth="1"/>
    <col min="9222" max="9222" width="11" style="235" customWidth="1"/>
    <col min="9223" max="9223" width="9.140625" style="235"/>
    <col min="9224" max="9224" width="1.5703125" style="235" customWidth="1"/>
    <col min="9225" max="9230" width="0" style="235" hidden="1" customWidth="1"/>
    <col min="9231" max="9472" width="9.140625" style="235"/>
    <col min="9473" max="9473" width="2.7109375" style="235" customWidth="1"/>
    <col min="9474" max="9475" width="6" style="235" customWidth="1"/>
    <col min="9476" max="9476" width="34.7109375" style="235" customWidth="1"/>
    <col min="9477" max="9477" width="11.28515625" style="235" customWidth="1"/>
    <col min="9478" max="9478" width="11" style="235" customWidth="1"/>
    <col min="9479" max="9479" width="9.140625" style="235"/>
    <col min="9480" max="9480" width="1.5703125" style="235" customWidth="1"/>
    <col min="9481" max="9486" width="0" style="235" hidden="1" customWidth="1"/>
    <col min="9487" max="9728" width="9.140625" style="235"/>
    <col min="9729" max="9729" width="2.7109375" style="235" customWidth="1"/>
    <col min="9730" max="9731" width="6" style="235" customWidth="1"/>
    <col min="9732" max="9732" width="34.7109375" style="235" customWidth="1"/>
    <col min="9733" max="9733" width="11.28515625" style="235" customWidth="1"/>
    <col min="9734" max="9734" width="11" style="235" customWidth="1"/>
    <col min="9735" max="9735" width="9.140625" style="235"/>
    <col min="9736" max="9736" width="1.5703125" style="235" customWidth="1"/>
    <col min="9737" max="9742" width="0" style="235" hidden="1" customWidth="1"/>
    <col min="9743" max="9984" width="9.140625" style="235"/>
    <col min="9985" max="9985" width="2.7109375" style="235" customWidth="1"/>
    <col min="9986" max="9987" width="6" style="235" customWidth="1"/>
    <col min="9988" max="9988" width="34.7109375" style="235" customWidth="1"/>
    <col min="9989" max="9989" width="11.28515625" style="235" customWidth="1"/>
    <col min="9990" max="9990" width="11" style="235" customWidth="1"/>
    <col min="9991" max="9991" width="9.140625" style="235"/>
    <col min="9992" max="9992" width="1.5703125" style="235" customWidth="1"/>
    <col min="9993" max="9998" width="0" style="235" hidden="1" customWidth="1"/>
    <col min="9999" max="10240" width="9.140625" style="235"/>
    <col min="10241" max="10241" width="2.7109375" style="235" customWidth="1"/>
    <col min="10242" max="10243" width="6" style="235" customWidth="1"/>
    <col min="10244" max="10244" width="34.7109375" style="235" customWidth="1"/>
    <col min="10245" max="10245" width="11.28515625" style="235" customWidth="1"/>
    <col min="10246" max="10246" width="11" style="235" customWidth="1"/>
    <col min="10247" max="10247" width="9.140625" style="235"/>
    <col min="10248" max="10248" width="1.5703125" style="235" customWidth="1"/>
    <col min="10249" max="10254" width="0" style="235" hidden="1" customWidth="1"/>
    <col min="10255" max="10496" width="9.140625" style="235"/>
    <col min="10497" max="10497" width="2.7109375" style="235" customWidth="1"/>
    <col min="10498" max="10499" width="6" style="235" customWidth="1"/>
    <col min="10500" max="10500" width="34.7109375" style="235" customWidth="1"/>
    <col min="10501" max="10501" width="11.28515625" style="235" customWidth="1"/>
    <col min="10502" max="10502" width="11" style="235" customWidth="1"/>
    <col min="10503" max="10503" width="9.140625" style="235"/>
    <col min="10504" max="10504" width="1.5703125" style="235" customWidth="1"/>
    <col min="10505" max="10510" width="0" style="235" hidden="1" customWidth="1"/>
    <col min="10511" max="10752" width="9.140625" style="235"/>
    <col min="10753" max="10753" width="2.7109375" style="235" customWidth="1"/>
    <col min="10754" max="10755" width="6" style="235" customWidth="1"/>
    <col min="10756" max="10756" width="34.7109375" style="235" customWidth="1"/>
    <col min="10757" max="10757" width="11.28515625" style="235" customWidth="1"/>
    <col min="10758" max="10758" width="11" style="235" customWidth="1"/>
    <col min="10759" max="10759" width="9.140625" style="235"/>
    <col min="10760" max="10760" width="1.5703125" style="235" customWidth="1"/>
    <col min="10761" max="10766" width="0" style="235" hidden="1" customWidth="1"/>
    <col min="10767" max="11008" width="9.140625" style="235"/>
    <col min="11009" max="11009" width="2.7109375" style="235" customWidth="1"/>
    <col min="11010" max="11011" width="6" style="235" customWidth="1"/>
    <col min="11012" max="11012" width="34.7109375" style="235" customWidth="1"/>
    <col min="11013" max="11013" width="11.28515625" style="235" customWidth="1"/>
    <col min="11014" max="11014" width="11" style="235" customWidth="1"/>
    <col min="11015" max="11015" width="9.140625" style="235"/>
    <col min="11016" max="11016" width="1.5703125" style="235" customWidth="1"/>
    <col min="11017" max="11022" width="0" style="235" hidden="1" customWidth="1"/>
    <col min="11023" max="11264" width="9.140625" style="235"/>
    <col min="11265" max="11265" width="2.7109375" style="235" customWidth="1"/>
    <col min="11266" max="11267" width="6" style="235" customWidth="1"/>
    <col min="11268" max="11268" width="34.7109375" style="235" customWidth="1"/>
    <col min="11269" max="11269" width="11.28515625" style="235" customWidth="1"/>
    <col min="11270" max="11270" width="11" style="235" customWidth="1"/>
    <col min="11271" max="11271" width="9.140625" style="235"/>
    <col min="11272" max="11272" width="1.5703125" style="235" customWidth="1"/>
    <col min="11273" max="11278" width="0" style="235" hidden="1" customWidth="1"/>
    <col min="11279" max="11520" width="9.140625" style="235"/>
    <col min="11521" max="11521" width="2.7109375" style="235" customWidth="1"/>
    <col min="11522" max="11523" width="6" style="235" customWidth="1"/>
    <col min="11524" max="11524" width="34.7109375" style="235" customWidth="1"/>
    <col min="11525" max="11525" width="11.28515625" style="235" customWidth="1"/>
    <col min="11526" max="11526" width="11" style="235" customWidth="1"/>
    <col min="11527" max="11527" width="9.140625" style="235"/>
    <col min="11528" max="11528" width="1.5703125" style="235" customWidth="1"/>
    <col min="11529" max="11534" width="0" style="235" hidden="1" customWidth="1"/>
    <col min="11535" max="11776" width="9.140625" style="235"/>
    <col min="11777" max="11777" width="2.7109375" style="235" customWidth="1"/>
    <col min="11778" max="11779" width="6" style="235" customWidth="1"/>
    <col min="11780" max="11780" width="34.7109375" style="235" customWidth="1"/>
    <col min="11781" max="11781" width="11.28515625" style="235" customWidth="1"/>
    <col min="11782" max="11782" width="11" style="235" customWidth="1"/>
    <col min="11783" max="11783" width="9.140625" style="235"/>
    <col min="11784" max="11784" width="1.5703125" style="235" customWidth="1"/>
    <col min="11785" max="11790" width="0" style="235" hidden="1" customWidth="1"/>
    <col min="11791" max="12032" width="9.140625" style="235"/>
    <col min="12033" max="12033" width="2.7109375" style="235" customWidth="1"/>
    <col min="12034" max="12035" width="6" style="235" customWidth="1"/>
    <col min="12036" max="12036" width="34.7109375" style="235" customWidth="1"/>
    <col min="12037" max="12037" width="11.28515625" style="235" customWidth="1"/>
    <col min="12038" max="12038" width="11" style="235" customWidth="1"/>
    <col min="12039" max="12039" width="9.140625" style="235"/>
    <col min="12040" max="12040" width="1.5703125" style="235" customWidth="1"/>
    <col min="12041" max="12046" width="0" style="235" hidden="1" customWidth="1"/>
    <col min="12047" max="12288" width="9.140625" style="235"/>
    <col min="12289" max="12289" width="2.7109375" style="235" customWidth="1"/>
    <col min="12290" max="12291" width="6" style="235" customWidth="1"/>
    <col min="12292" max="12292" width="34.7109375" style="235" customWidth="1"/>
    <col min="12293" max="12293" width="11.28515625" style="235" customWidth="1"/>
    <col min="12294" max="12294" width="11" style="235" customWidth="1"/>
    <col min="12295" max="12295" width="9.140625" style="235"/>
    <col min="12296" max="12296" width="1.5703125" style="235" customWidth="1"/>
    <col min="12297" max="12302" width="0" style="235" hidden="1" customWidth="1"/>
    <col min="12303" max="12544" width="9.140625" style="235"/>
    <col min="12545" max="12545" width="2.7109375" style="235" customWidth="1"/>
    <col min="12546" max="12547" width="6" style="235" customWidth="1"/>
    <col min="12548" max="12548" width="34.7109375" style="235" customWidth="1"/>
    <col min="12549" max="12549" width="11.28515625" style="235" customWidth="1"/>
    <col min="12550" max="12550" width="11" style="235" customWidth="1"/>
    <col min="12551" max="12551" width="9.140625" style="235"/>
    <col min="12552" max="12552" width="1.5703125" style="235" customWidth="1"/>
    <col min="12553" max="12558" width="0" style="235" hidden="1" customWidth="1"/>
    <col min="12559" max="12800" width="9.140625" style="235"/>
    <col min="12801" max="12801" width="2.7109375" style="235" customWidth="1"/>
    <col min="12802" max="12803" width="6" style="235" customWidth="1"/>
    <col min="12804" max="12804" width="34.7109375" style="235" customWidth="1"/>
    <col min="12805" max="12805" width="11.28515625" style="235" customWidth="1"/>
    <col min="12806" max="12806" width="11" style="235" customWidth="1"/>
    <col min="12807" max="12807" width="9.140625" style="235"/>
    <col min="12808" max="12808" width="1.5703125" style="235" customWidth="1"/>
    <col min="12809" max="12814" width="0" style="235" hidden="1" customWidth="1"/>
    <col min="12815" max="13056" width="9.140625" style="235"/>
    <col min="13057" max="13057" width="2.7109375" style="235" customWidth="1"/>
    <col min="13058" max="13059" width="6" style="235" customWidth="1"/>
    <col min="13060" max="13060" width="34.7109375" style="235" customWidth="1"/>
    <col min="13061" max="13061" width="11.28515625" style="235" customWidth="1"/>
    <col min="13062" max="13062" width="11" style="235" customWidth="1"/>
    <col min="13063" max="13063" width="9.140625" style="235"/>
    <col min="13064" max="13064" width="1.5703125" style="235" customWidth="1"/>
    <col min="13065" max="13070" width="0" style="235" hidden="1" customWidth="1"/>
    <col min="13071" max="13312" width="9.140625" style="235"/>
    <col min="13313" max="13313" width="2.7109375" style="235" customWidth="1"/>
    <col min="13314" max="13315" width="6" style="235" customWidth="1"/>
    <col min="13316" max="13316" width="34.7109375" style="235" customWidth="1"/>
    <col min="13317" max="13317" width="11.28515625" style="235" customWidth="1"/>
    <col min="13318" max="13318" width="11" style="235" customWidth="1"/>
    <col min="13319" max="13319" width="9.140625" style="235"/>
    <col min="13320" max="13320" width="1.5703125" style="235" customWidth="1"/>
    <col min="13321" max="13326" width="0" style="235" hidden="1" customWidth="1"/>
    <col min="13327" max="13568" width="9.140625" style="235"/>
    <col min="13569" max="13569" width="2.7109375" style="235" customWidth="1"/>
    <col min="13570" max="13571" width="6" style="235" customWidth="1"/>
    <col min="13572" max="13572" width="34.7109375" style="235" customWidth="1"/>
    <col min="13573" max="13573" width="11.28515625" style="235" customWidth="1"/>
    <col min="13574" max="13574" width="11" style="235" customWidth="1"/>
    <col min="13575" max="13575" width="9.140625" style="235"/>
    <col min="13576" max="13576" width="1.5703125" style="235" customWidth="1"/>
    <col min="13577" max="13582" width="0" style="235" hidden="1" customWidth="1"/>
    <col min="13583" max="13824" width="9.140625" style="235"/>
    <col min="13825" max="13825" width="2.7109375" style="235" customWidth="1"/>
    <col min="13826" max="13827" width="6" style="235" customWidth="1"/>
    <col min="13828" max="13828" width="34.7109375" style="235" customWidth="1"/>
    <col min="13829" max="13829" width="11.28515625" style="235" customWidth="1"/>
    <col min="13830" max="13830" width="11" style="235" customWidth="1"/>
    <col min="13831" max="13831" width="9.140625" style="235"/>
    <col min="13832" max="13832" width="1.5703125" style="235" customWidth="1"/>
    <col min="13833" max="13838" width="0" style="235" hidden="1" customWidth="1"/>
    <col min="13839" max="14080" width="9.140625" style="235"/>
    <col min="14081" max="14081" width="2.7109375" style="235" customWidth="1"/>
    <col min="14082" max="14083" width="6" style="235" customWidth="1"/>
    <col min="14084" max="14084" width="34.7109375" style="235" customWidth="1"/>
    <col min="14085" max="14085" width="11.28515625" style="235" customWidth="1"/>
    <col min="14086" max="14086" width="11" style="235" customWidth="1"/>
    <col min="14087" max="14087" width="9.140625" style="235"/>
    <col min="14088" max="14088" width="1.5703125" style="235" customWidth="1"/>
    <col min="14089" max="14094" width="0" style="235" hidden="1" customWidth="1"/>
    <col min="14095" max="14336" width="9.140625" style="235"/>
    <col min="14337" max="14337" width="2.7109375" style="235" customWidth="1"/>
    <col min="14338" max="14339" width="6" style="235" customWidth="1"/>
    <col min="14340" max="14340" width="34.7109375" style="235" customWidth="1"/>
    <col min="14341" max="14341" width="11.28515625" style="235" customWidth="1"/>
    <col min="14342" max="14342" width="11" style="235" customWidth="1"/>
    <col min="14343" max="14343" width="9.140625" style="235"/>
    <col min="14344" max="14344" width="1.5703125" style="235" customWidth="1"/>
    <col min="14345" max="14350" width="0" style="235" hidden="1" customWidth="1"/>
    <col min="14351" max="14592" width="9.140625" style="235"/>
    <col min="14593" max="14593" width="2.7109375" style="235" customWidth="1"/>
    <col min="14594" max="14595" width="6" style="235" customWidth="1"/>
    <col min="14596" max="14596" width="34.7109375" style="235" customWidth="1"/>
    <col min="14597" max="14597" width="11.28515625" style="235" customWidth="1"/>
    <col min="14598" max="14598" width="11" style="235" customWidth="1"/>
    <col min="14599" max="14599" width="9.140625" style="235"/>
    <col min="14600" max="14600" width="1.5703125" style="235" customWidth="1"/>
    <col min="14601" max="14606" width="0" style="235" hidden="1" customWidth="1"/>
    <col min="14607" max="14848" width="9.140625" style="235"/>
    <col min="14849" max="14849" width="2.7109375" style="235" customWidth="1"/>
    <col min="14850" max="14851" width="6" style="235" customWidth="1"/>
    <col min="14852" max="14852" width="34.7109375" style="235" customWidth="1"/>
    <col min="14853" max="14853" width="11.28515625" style="235" customWidth="1"/>
    <col min="14854" max="14854" width="11" style="235" customWidth="1"/>
    <col min="14855" max="14855" width="9.140625" style="235"/>
    <col min="14856" max="14856" width="1.5703125" style="235" customWidth="1"/>
    <col min="14857" max="14862" width="0" style="235" hidden="1" customWidth="1"/>
    <col min="14863" max="15104" width="9.140625" style="235"/>
    <col min="15105" max="15105" width="2.7109375" style="235" customWidth="1"/>
    <col min="15106" max="15107" width="6" style="235" customWidth="1"/>
    <col min="15108" max="15108" width="34.7109375" style="235" customWidth="1"/>
    <col min="15109" max="15109" width="11.28515625" style="235" customWidth="1"/>
    <col min="15110" max="15110" width="11" style="235" customWidth="1"/>
    <col min="15111" max="15111" width="9.140625" style="235"/>
    <col min="15112" max="15112" width="1.5703125" style="235" customWidth="1"/>
    <col min="15113" max="15118" width="0" style="235" hidden="1" customWidth="1"/>
    <col min="15119" max="15360" width="9.140625" style="235"/>
    <col min="15361" max="15361" width="2.7109375" style="235" customWidth="1"/>
    <col min="15362" max="15363" width="6" style="235" customWidth="1"/>
    <col min="15364" max="15364" width="34.7109375" style="235" customWidth="1"/>
    <col min="15365" max="15365" width="11.28515625" style="235" customWidth="1"/>
    <col min="15366" max="15366" width="11" style="235" customWidth="1"/>
    <col min="15367" max="15367" width="9.140625" style="235"/>
    <col min="15368" max="15368" width="1.5703125" style="235" customWidth="1"/>
    <col min="15369" max="15374" width="0" style="235" hidden="1" customWidth="1"/>
    <col min="15375" max="15616" width="9.140625" style="235"/>
    <col min="15617" max="15617" width="2.7109375" style="235" customWidth="1"/>
    <col min="15618" max="15619" width="6" style="235" customWidth="1"/>
    <col min="15620" max="15620" width="34.7109375" style="235" customWidth="1"/>
    <col min="15621" max="15621" width="11.28515625" style="235" customWidth="1"/>
    <col min="15622" max="15622" width="11" style="235" customWidth="1"/>
    <col min="15623" max="15623" width="9.140625" style="235"/>
    <col min="15624" max="15624" width="1.5703125" style="235" customWidth="1"/>
    <col min="15625" max="15630" width="0" style="235" hidden="1" customWidth="1"/>
    <col min="15631" max="15872" width="9.140625" style="235"/>
    <col min="15873" max="15873" width="2.7109375" style="235" customWidth="1"/>
    <col min="15874" max="15875" width="6" style="235" customWidth="1"/>
    <col min="15876" max="15876" width="34.7109375" style="235" customWidth="1"/>
    <col min="15877" max="15877" width="11.28515625" style="235" customWidth="1"/>
    <col min="15878" max="15878" width="11" style="235" customWidth="1"/>
    <col min="15879" max="15879" width="9.140625" style="235"/>
    <col min="15880" max="15880" width="1.5703125" style="235" customWidth="1"/>
    <col min="15881" max="15886" width="0" style="235" hidden="1" customWidth="1"/>
    <col min="15887" max="16128" width="9.140625" style="235"/>
    <col min="16129" max="16129" width="2.7109375" style="235" customWidth="1"/>
    <col min="16130" max="16131" width="6" style="235" customWidth="1"/>
    <col min="16132" max="16132" width="34.7109375" style="235" customWidth="1"/>
    <col min="16133" max="16133" width="11.28515625" style="235" customWidth="1"/>
    <col min="16134" max="16134" width="11" style="235" customWidth="1"/>
    <col min="16135" max="16135" width="9.140625" style="235"/>
    <col min="16136" max="16136" width="1.5703125" style="235" customWidth="1"/>
    <col min="16137" max="16142" width="0" style="235" hidden="1" customWidth="1"/>
    <col min="16143" max="16384" width="9.140625" style="235"/>
  </cols>
  <sheetData>
    <row r="1" spans="1:15" ht="31.5" customHeight="1">
      <c r="B1" s="992" t="s">
        <v>356</v>
      </c>
      <c r="C1" s="992"/>
      <c r="D1" s="992"/>
      <c r="E1" s="992"/>
      <c r="F1" s="992"/>
      <c r="G1" s="992"/>
    </row>
    <row r="2" spans="1:15" ht="24.75" customHeight="1">
      <c r="B2" s="280"/>
      <c r="C2" s="280"/>
      <c r="D2" s="280"/>
      <c r="E2" s="280"/>
      <c r="F2" s="281"/>
      <c r="G2" s="280"/>
    </row>
    <row r="3" spans="1:15" ht="73.5" customHeight="1">
      <c r="B3" s="993" t="str">
        <f>"A "&amp;PREENCHER!G6&amp;" "&amp;PREENCHER!$F$6&amp;" declara para os devidos e necessários fins que na elaboração do orçamento referente ao objeto ''"&amp;PREENCHER!$E$9&amp;"'', CT nº "&amp;PREENCHER!$E$8&amp;", foi adotado percentual de BDI de "&amp;E30&amp; " % (conforme planilha da composição analítica abaixo) e encargos " &amp;PREENCHER!$E$10&amp; " em conformidade com o estabelecido no SINAPI."</f>
        <v>A Prefeitura Municipal de Presidente Lucena declara para os devidos e necessários fins que na elaboração do orçamento referente ao objeto ''Pavimentação Asfáltica de diversas vias'', CT nº XXX.XXX-XX/XXXX, foi adotado percentual de BDI de 24,03 % (conforme planilha da composição analítica abaixo) e encargos sem desoneração em conformidade com o estabelecido no SINAPI.</v>
      </c>
      <c r="C3" s="993"/>
      <c r="D3" s="993"/>
      <c r="E3" s="993"/>
      <c r="F3" s="993"/>
      <c r="G3" s="993"/>
    </row>
    <row r="4" spans="1:15" ht="34.5" customHeight="1">
      <c r="B4" s="993" t="str">
        <f>"Declaramos ainda que a alíquota de ISSQN no município é de "&amp;PREENCHER!$E$21&amp;"%, a incidir sobre o "&amp;PREENCHER!$E$22&amp; "."</f>
        <v>Declaramos ainda que a alíquota de ISSQN no município é de 2%, a incidir sobre o valor total da obra.</v>
      </c>
      <c r="C4" s="993"/>
      <c r="D4" s="993"/>
      <c r="E4" s="993"/>
      <c r="F4" s="993"/>
      <c r="G4" s="993"/>
    </row>
    <row r="5" spans="1:15" ht="15" customHeight="1">
      <c r="B5" s="994" t="str">
        <f>IF(PREENCHER!E22="valor total da obra","","Para a obra em questão é considerada a relação de "&amp;PREENCHER!$E$23&amp;"% é mão de obra e "&amp;100-PREENCHER!$E$23&amp;"% é material.")</f>
        <v/>
      </c>
      <c r="C5" s="994"/>
      <c r="D5" s="994"/>
      <c r="E5" s="994"/>
      <c r="F5" s="994"/>
      <c r="G5" s="994"/>
    </row>
    <row r="6" spans="1:15" ht="15" customHeight="1">
      <c r="B6" s="995" t="str">
        <f>"O regime de execução da obra será "&amp;PREENCHER!E19&amp;"."</f>
        <v>O regime de execução da obra será empreitada por preço global.</v>
      </c>
      <c r="C6" s="995"/>
      <c r="D6" s="995"/>
      <c r="E6" s="995"/>
      <c r="F6" s="995"/>
      <c r="G6" s="995"/>
    </row>
    <row r="7" spans="1:15" ht="33.75" customHeight="1">
      <c r="B7" s="991" t="str">
        <f>"Oportunamente, declaramos que a opção de orçamento considerando os encargos "&amp;PREENCHER!E10&amp;" é a opção mais adequada para a Administração Pública Municipal."</f>
        <v>Oportunamente, declaramos que a opção de orçamento considerando os encargos sem desoneração é a opção mais adequada para a Administração Pública Municipal.</v>
      </c>
      <c r="C7" s="991"/>
      <c r="D7" s="991"/>
      <c r="E7" s="991"/>
      <c r="F7" s="991"/>
      <c r="G7" s="991"/>
    </row>
    <row r="8" spans="1:15" ht="38.25" customHeight="1" thickBot="1">
      <c r="B8" s="282"/>
      <c r="C8" s="282"/>
      <c r="D8" s="282"/>
      <c r="E8" s="282"/>
      <c r="F8" s="282"/>
      <c r="G8" s="282"/>
      <c r="O8" s="283"/>
    </row>
    <row r="9" spans="1:15" ht="16.5" thickBot="1">
      <c r="B9" s="999" t="s">
        <v>357</v>
      </c>
      <c r="C9" s="1000"/>
      <c r="D9" s="1000"/>
      <c r="E9" s="1000"/>
      <c r="F9" s="1000"/>
      <c r="G9" s="1001"/>
      <c r="I9" s="237"/>
      <c r="J9" s="284"/>
      <c r="K9" s="237"/>
      <c r="L9" s="237"/>
      <c r="M9" s="237"/>
      <c r="N9" s="237"/>
    </row>
    <row r="10" spans="1:15" ht="6" customHeight="1" thickBot="1">
      <c r="B10" s="280"/>
      <c r="C10" s="280"/>
      <c r="D10" s="280"/>
      <c r="E10" s="280"/>
      <c r="F10" s="281"/>
      <c r="G10" s="280"/>
      <c r="I10" s="237"/>
      <c r="J10" s="237"/>
      <c r="K10" s="237"/>
      <c r="L10" s="237"/>
      <c r="M10" s="237"/>
      <c r="N10" s="237"/>
    </row>
    <row r="11" spans="1:15" ht="24" customHeight="1" thickBot="1">
      <c r="B11" s="1002" t="s">
        <v>358</v>
      </c>
      <c r="C11" s="1003"/>
      <c r="D11" s="1004" t="str">
        <f>PREENCHER!D31</f>
        <v>2 - Construção de Rodovias e Ferrovias</v>
      </c>
      <c r="E11" s="1004"/>
      <c r="F11" s="1004"/>
      <c r="G11" s="1005"/>
      <c r="I11" s="237"/>
      <c r="J11" s="237"/>
      <c r="K11" s="237"/>
      <c r="L11" s="237"/>
      <c r="M11" s="237"/>
      <c r="N11" s="237"/>
    </row>
    <row r="12" spans="1:15" ht="5.25" customHeight="1" thickBot="1">
      <c r="B12" s="280"/>
      <c r="C12" s="280"/>
      <c r="D12" s="280"/>
      <c r="E12" s="280"/>
      <c r="F12" s="281"/>
      <c r="G12" s="280"/>
      <c r="I12" s="237"/>
      <c r="J12" s="237"/>
      <c r="K12" s="237"/>
      <c r="L12" s="237"/>
      <c r="M12" s="237"/>
      <c r="N12" s="237"/>
    </row>
    <row r="13" spans="1:15" ht="13.5" thickBot="1">
      <c r="B13" s="1006" t="s">
        <v>290</v>
      </c>
      <c r="C13" s="1007"/>
      <c r="D13" s="1007"/>
      <c r="E13" s="285" t="s">
        <v>291</v>
      </c>
      <c r="F13" s="285" t="s">
        <v>292</v>
      </c>
      <c r="G13" s="286" t="s">
        <v>293</v>
      </c>
      <c r="I13" s="237"/>
      <c r="J13" s="237" t="s">
        <v>294</v>
      </c>
      <c r="K13" s="237"/>
      <c r="L13" s="237"/>
      <c r="M13" s="237" t="s">
        <v>295</v>
      </c>
      <c r="N13" s="237" t="s">
        <v>293</v>
      </c>
    </row>
    <row r="14" spans="1:15">
      <c r="A14" s="237"/>
      <c r="B14" s="287" t="s">
        <v>202</v>
      </c>
      <c r="C14" s="1008" t="s">
        <v>296</v>
      </c>
      <c r="D14" s="1009"/>
      <c r="E14" s="288">
        <f>PREENCHER!G34</f>
        <v>4.67</v>
      </c>
      <c r="F14" s="289">
        <f>PREENCHER!H34</f>
        <v>3.8</v>
      </c>
      <c r="G14" s="289">
        <f>PREENCHER!I34</f>
        <v>4.67</v>
      </c>
      <c r="I14" s="237"/>
      <c r="J14" s="237" t="s">
        <v>289</v>
      </c>
      <c r="K14" s="237"/>
      <c r="L14" s="237" t="s">
        <v>297</v>
      </c>
      <c r="M14" s="261">
        <v>3</v>
      </c>
      <c r="N14" s="261">
        <v>5.5</v>
      </c>
    </row>
    <row r="15" spans="1:15">
      <c r="A15" s="237"/>
      <c r="B15" s="290" t="s">
        <v>298</v>
      </c>
      <c r="C15" s="1010" t="s">
        <v>299</v>
      </c>
      <c r="D15" s="1011"/>
      <c r="E15" s="288">
        <f>PREENCHER!G35</f>
        <v>0.74</v>
      </c>
      <c r="F15" s="289">
        <f>PREENCHER!H35</f>
        <v>0.32</v>
      </c>
      <c r="G15" s="289">
        <f>PREENCHER!I35</f>
        <v>0.74</v>
      </c>
      <c r="I15" s="237"/>
      <c r="J15" s="237" t="s">
        <v>300</v>
      </c>
      <c r="K15" s="237"/>
      <c r="L15" s="237" t="s">
        <v>301</v>
      </c>
      <c r="M15" s="261">
        <v>0.8</v>
      </c>
      <c r="N15" s="261">
        <v>1</v>
      </c>
    </row>
    <row r="16" spans="1:15">
      <c r="A16" s="237"/>
      <c r="B16" s="290" t="s">
        <v>203</v>
      </c>
      <c r="C16" s="1010" t="s">
        <v>302</v>
      </c>
      <c r="D16" s="1011"/>
      <c r="E16" s="288">
        <f>PREENCHER!G36</f>
        <v>0.97</v>
      </c>
      <c r="F16" s="289">
        <f>PREENCHER!H36</f>
        <v>0.5</v>
      </c>
      <c r="G16" s="289">
        <f>PREENCHER!I36</f>
        <v>0.97</v>
      </c>
      <c r="I16" s="237"/>
      <c r="J16" s="237" t="s">
        <v>303</v>
      </c>
      <c r="K16" s="237"/>
      <c r="L16" s="237" t="s">
        <v>304</v>
      </c>
      <c r="M16" s="261">
        <v>0.97</v>
      </c>
      <c r="N16" s="261">
        <v>1.27</v>
      </c>
    </row>
    <row r="17" spans="1:19">
      <c r="A17" s="237"/>
      <c r="B17" s="290" t="s">
        <v>204</v>
      </c>
      <c r="C17" s="1010" t="s">
        <v>359</v>
      </c>
      <c r="D17" s="1011"/>
      <c r="E17" s="288">
        <f>PREENCHER!G37</f>
        <v>1.21</v>
      </c>
      <c r="F17" s="289">
        <f>PREENCHER!H37</f>
        <v>1.02</v>
      </c>
      <c r="G17" s="289">
        <f>PREENCHER!I37</f>
        <v>1.21</v>
      </c>
      <c r="I17" s="237"/>
      <c r="J17" s="237" t="s">
        <v>306</v>
      </c>
      <c r="K17" s="237"/>
      <c r="L17" s="237" t="s">
        <v>307</v>
      </c>
      <c r="M17" s="261">
        <v>0.59</v>
      </c>
      <c r="N17" s="261">
        <v>1.39</v>
      </c>
    </row>
    <row r="18" spans="1:19">
      <c r="A18" s="237"/>
      <c r="B18" s="290" t="s">
        <v>205</v>
      </c>
      <c r="C18" s="1010" t="s">
        <v>308</v>
      </c>
      <c r="D18" s="1011"/>
      <c r="E18" s="288">
        <f>PREENCHER!G38</f>
        <v>8.69</v>
      </c>
      <c r="F18" s="289">
        <f>PREENCHER!H38</f>
        <v>6.64</v>
      </c>
      <c r="G18" s="289">
        <f>PREENCHER!I38</f>
        <v>8.69</v>
      </c>
      <c r="I18" s="237"/>
      <c r="J18" s="237" t="s">
        <v>309</v>
      </c>
      <c r="K18" s="237"/>
      <c r="L18" s="237" t="s">
        <v>310</v>
      </c>
      <c r="M18" s="261">
        <v>6.16</v>
      </c>
      <c r="N18" s="261">
        <v>8.9600000000000009</v>
      </c>
    </row>
    <row r="19" spans="1:19">
      <c r="B19" s="290" t="s">
        <v>206</v>
      </c>
      <c r="C19" s="1010" t="s">
        <v>311</v>
      </c>
      <c r="D19" s="1011"/>
      <c r="E19" s="288">
        <f>SUM(E20:E23)</f>
        <v>5.65</v>
      </c>
      <c r="F19" s="1012" t="s">
        <v>312</v>
      </c>
      <c r="G19" s="1013"/>
      <c r="I19" s="237"/>
      <c r="J19" s="237"/>
      <c r="K19" s="237"/>
      <c r="L19" s="237" t="s">
        <v>313</v>
      </c>
      <c r="M19" s="261">
        <v>3.8</v>
      </c>
      <c r="N19" s="261">
        <v>4.67</v>
      </c>
    </row>
    <row r="20" spans="1:19">
      <c r="B20" s="290"/>
      <c r="C20" s="291"/>
      <c r="D20" s="292" t="s">
        <v>238</v>
      </c>
      <c r="E20" s="293">
        <f>PREENCHER!G40</f>
        <v>0.65</v>
      </c>
      <c r="F20" s="1014"/>
      <c r="G20" s="1015"/>
      <c r="I20" s="237"/>
      <c r="J20" s="237"/>
      <c r="K20" s="237"/>
      <c r="L20" s="237"/>
      <c r="M20" s="261"/>
      <c r="N20" s="261"/>
      <c r="S20" s="283"/>
    </row>
    <row r="21" spans="1:19">
      <c r="B21" s="290"/>
      <c r="C21" s="291"/>
      <c r="D21" s="292" t="s">
        <v>314</v>
      </c>
      <c r="E21" s="293">
        <f>PREENCHER!G41</f>
        <v>3</v>
      </c>
      <c r="F21" s="1014"/>
      <c r="G21" s="1015"/>
      <c r="I21" s="237"/>
      <c r="J21" s="237"/>
      <c r="K21" s="237"/>
      <c r="L21" s="237"/>
      <c r="M21" s="261"/>
      <c r="N21" s="261"/>
    </row>
    <row r="22" spans="1:19">
      <c r="B22" s="290"/>
      <c r="C22" s="291"/>
      <c r="D22" s="292" t="s">
        <v>360</v>
      </c>
      <c r="E22" s="293">
        <f>PREENCHER!G42</f>
        <v>2</v>
      </c>
      <c r="F22" s="1014"/>
      <c r="G22" s="1015"/>
      <c r="I22" s="237"/>
      <c r="J22" s="237"/>
      <c r="K22" s="237"/>
      <c r="L22" s="237"/>
      <c r="M22" s="261"/>
      <c r="N22" s="261"/>
    </row>
    <row r="23" spans="1:19">
      <c r="B23" s="290"/>
      <c r="C23" s="291"/>
      <c r="D23" s="292" t="s">
        <v>361</v>
      </c>
      <c r="E23" s="293">
        <f>PREENCHER!G43</f>
        <v>0</v>
      </c>
      <c r="F23" s="1016"/>
      <c r="G23" s="1017"/>
      <c r="I23" s="237"/>
      <c r="J23" s="237"/>
      <c r="K23" s="237"/>
      <c r="L23" s="237"/>
      <c r="M23" s="261"/>
      <c r="N23" s="261"/>
    </row>
    <row r="24" spans="1:19" ht="4.5" customHeight="1" thickBot="1">
      <c r="B24" s="280"/>
      <c r="C24" s="280"/>
      <c r="D24" s="280"/>
      <c r="E24" s="280"/>
      <c r="F24" s="281"/>
      <c r="G24" s="280"/>
      <c r="I24" s="237"/>
      <c r="J24" s="237"/>
      <c r="K24" s="237"/>
      <c r="L24" s="237" t="s">
        <v>319</v>
      </c>
      <c r="M24" s="261">
        <v>0.5</v>
      </c>
      <c r="N24" s="261">
        <v>0.97</v>
      </c>
    </row>
    <row r="25" spans="1:19" ht="13.5" thickBot="1">
      <c r="B25" s="996" t="s">
        <v>320</v>
      </c>
      <c r="C25" s="997"/>
      <c r="D25" s="997"/>
      <c r="E25" s="998"/>
      <c r="F25" s="294"/>
      <c r="G25" s="280"/>
      <c r="I25" s="237"/>
      <c r="J25" s="237"/>
      <c r="K25" s="237"/>
      <c r="L25" s="237" t="s">
        <v>321</v>
      </c>
      <c r="M25" s="261">
        <v>1.02</v>
      </c>
      <c r="N25" s="261">
        <v>1.21</v>
      </c>
    </row>
    <row r="26" spans="1:19" ht="22.5" customHeight="1" thickBot="1">
      <c r="B26" s="1018"/>
      <c r="C26" s="1020" t="s">
        <v>322</v>
      </c>
      <c r="D26" s="295" t="s">
        <v>323</v>
      </c>
      <c r="E26" s="1022">
        <v>-1</v>
      </c>
      <c r="F26" s="281"/>
      <c r="G26" s="280"/>
      <c r="I26" s="237"/>
      <c r="J26" s="237"/>
      <c r="K26" s="237"/>
      <c r="L26" s="237" t="s">
        <v>324</v>
      </c>
      <c r="M26" s="261">
        <v>6.64</v>
      </c>
      <c r="N26" s="261">
        <v>8.69</v>
      </c>
    </row>
    <row r="27" spans="1:19" ht="21" customHeight="1" thickBot="1">
      <c r="B27" s="1019"/>
      <c r="C27" s="1021"/>
      <c r="D27" s="296" t="s">
        <v>325</v>
      </c>
      <c r="E27" s="1023"/>
      <c r="F27" s="281"/>
      <c r="G27" s="280"/>
      <c r="I27" s="237"/>
      <c r="J27" s="237"/>
      <c r="K27" s="237"/>
      <c r="L27" s="237" t="s">
        <v>326</v>
      </c>
      <c r="M27" s="261">
        <v>3.43</v>
      </c>
      <c r="N27" s="261">
        <v>6.71</v>
      </c>
    </row>
    <row r="28" spans="1:19" ht="3" customHeight="1" thickBot="1">
      <c r="B28" s="280"/>
      <c r="C28" s="280"/>
      <c r="D28" s="280"/>
      <c r="E28" s="280"/>
      <c r="F28" s="281"/>
      <c r="G28" s="280"/>
      <c r="I28" s="237"/>
      <c r="J28" s="237"/>
      <c r="K28" s="237"/>
      <c r="L28" s="237" t="s">
        <v>327</v>
      </c>
      <c r="M28" s="261">
        <v>0.28000000000000003</v>
      </c>
      <c r="N28" s="261">
        <v>0.75</v>
      </c>
    </row>
    <row r="29" spans="1:19" ht="15" customHeight="1" thickBot="1">
      <c r="B29" s="1024" t="s">
        <v>328</v>
      </c>
      <c r="C29" s="1025"/>
      <c r="D29" s="1025"/>
      <c r="E29" s="1026"/>
      <c r="F29" s="1027" t="str">
        <f>IF(PREENCHER!G51&gt;PREENCHER!H51,IF(PREENCHER!G51&lt;PREENCHER!I51,"De acordo com o Acórdão 2622/2013-TCU.","NÃO"),"XXX BDI FORA DOS LIMITES AC 2622/13 XXX")</f>
        <v>De acordo com o Acórdão 2622/2013-TCU.</v>
      </c>
      <c r="G29" s="1028"/>
      <c r="I29" s="237"/>
      <c r="J29" s="237"/>
      <c r="K29" s="237"/>
      <c r="L29" s="237" t="s">
        <v>329</v>
      </c>
      <c r="M29" s="261">
        <v>1</v>
      </c>
      <c r="N29" s="261">
        <v>1.74</v>
      </c>
    </row>
    <row r="30" spans="1:19" ht="16.5" thickBot="1">
      <c r="A30" s="237"/>
      <c r="B30" s="1029" t="s">
        <v>328</v>
      </c>
      <c r="C30" s="1030"/>
      <c r="D30" s="1030"/>
      <c r="E30" s="297">
        <f>100*ROUND((((1+E14/100+E15/100+E16/100)*(1+E17/100)*(1+E18/100))/(1-E19/100))-1,4)</f>
        <v>24.03</v>
      </c>
      <c r="F30" s="1027"/>
      <c r="G30" s="1028"/>
      <c r="I30" s="237"/>
      <c r="J30" s="237"/>
      <c r="K30" s="237"/>
      <c r="L30" s="237" t="s">
        <v>330</v>
      </c>
      <c r="M30" s="261">
        <v>0.94</v>
      </c>
      <c r="N30" s="261">
        <v>1.17</v>
      </c>
    </row>
    <row r="31" spans="1:19" ht="8.25" customHeight="1">
      <c r="B31" s="280"/>
      <c r="C31" s="280"/>
      <c r="D31" s="280"/>
      <c r="E31" s="280"/>
      <c r="F31" s="281"/>
      <c r="G31" s="280"/>
      <c r="I31" s="237"/>
      <c r="J31" s="237"/>
      <c r="K31" s="237"/>
      <c r="L31" s="237" t="s">
        <v>362</v>
      </c>
      <c r="M31" s="261">
        <v>5.29</v>
      </c>
      <c r="N31" s="261">
        <v>7.93</v>
      </c>
    </row>
    <row r="32" spans="1:19" ht="35.25" customHeight="1">
      <c r="B32" s="280"/>
      <c r="C32" s="280"/>
      <c r="D32" s="280"/>
      <c r="E32" s="280"/>
      <c r="F32" s="281"/>
      <c r="G32" s="280"/>
      <c r="I32" s="237"/>
      <c r="J32" s="237"/>
      <c r="K32" s="237"/>
      <c r="L32" s="237"/>
      <c r="M32" s="261"/>
      <c r="N32" s="261"/>
    </row>
    <row r="33" spans="2:14" ht="15" customHeight="1">
      <c r="B33" s="280"/>
      <c r="C33" s="280"/>
      <c r="D33" s="280"/>
      <c r="E33" s="1032" t="str">
        <f ca="1">PREENCHER!E7&amp;", "&amp;TEXT(PREENCHER!E11,"dd")&amp; " de "&amp;TEXT(PREENCHER!E11,"mmmm")&amp;" de "&amp;TEXT(PREENCHER!E11,"aaaa")</f>
        <v>Presidente Lucena, 22 de março de 2019</v>
      </c>
      <c r="F33" s="1032"/>
      <c r="G33" s="1032"/>
      <c r="I33" s="237"/>
      <c r="J33" s="237"/>
      <c r="K33" s="237"/>
      <c r="L33" s="237"/>
      <c r="M33" s="261"/>
      <c r="N33" s="261"/>
    </row>
    <row r="34" spans="2:14" ht="34.5" customHeight="1">
      <c r="B34" s="1033"/>
      <c r="C34" s="1033"/>
      <c r="D34" s="1033"/>
      <c r="E34" s="1033"/>
      <c r="F34" s="1033"/>
      <c r="G34" s="1033"/>
      <c r="I34" s="237"/>
      <c r="J34" s="237"/>
      <c r="K34" s="237"/>
      <c r="L34" s="237" t="s">
        <v>335</v>
      </c>
      <c r="M34" s="261">
        <v>0.25</v>
      </c>
      <c r="N34" s="261">
        <v>0.56000000000000005</v>
      </c>
    </row>
    <row r="35" spans="2:14" ht="11.25" customHeight="1">
      <c r="B35" s="298"/>
      <c r="C35" s="298"/>
      <c r="D35" s="280"/>
      <c r="E35" s="280"/>
      <c r="F35" s="281"/>
      <c r="G35" s="280"/>
      <c r="I35" s="237"/>
      <c r="J35" s="237"/>
      <c r="K35" s="237"/>
      <c r="L35" s="237" t="s">
        <v>337</v>
      </c>
      <c r="M35" s="261">
        <v>1</v>
      </c>
      <c r="N35" s="261">
        <v>1.97</v>
      </c>
    </row>
    <row r="36" spans="2:14">
      <c r="B36" s="1034" t="str">
        <f>PREENCHER!E13&amp;" - Responsável Técnico"</f>
        <v>Felipe Camargo - Responsável Técnico</v>
      </c>
      <c r="C36" s="1034"/>
      <c r="D36" s="1034"/>
      <c r="E36" s="280"/>
      <c r="F36" s="281"/>
      <c r="G36" s="280"/>
      <c r="I36" s="237"/>
      <c r="J36" s="237"/>
      <c r="K36" s="237"/>
      <c r="L36" s="237" t="s">
        <v>338</v>
      </c>
      <c r="M36" s="261">
        <v>1.01</v>
      </c>
      <c r="N36" s="261">
        <v>1.1100000000000001</v>
      </c>
    </row>
    <row r="37" spans="2:14" s="241" customFormat="1">
      <c r="B37" s="1031" t="str">
        <f>PREENCHER!B14&amp;PREENCHER!E14</f>
        <v>CREA nº86.892-RS</v>
      </c>
      <c r="C37" s="1031"/>
      <c r="D37" s="1031"/>
      <c r="E37" s="299"/>
      <c r="F37" s="300"/>
      <c r="G37" s="299"/>
      <c r="I37" s="239"/>
      <c r="J37" s="239"/>
      <c r="K37" s="239"/>
      <c r="L37" s="239" t="s">
        <v>339</v>
      </c>
      <c r="M37" s="301">
        <v>8</v>
      </c>
      <c r="N37" s="301">
        <v>9.51</v>
      </c>
    </row>
    <row r="38" spans="2:14" s="241" customFormat="1">
      <c r="B38" s="1031"/>
      <c r="C38" s="1031"/>
      <c r="D38" s="1031"/>
      <c r="E38" s="299"/>
      <c r="F38" s="300"/>
      <c r="G38" s="299"/>
      <c r="I38" s="239"/>
      <c r="J38" s="239"/>
      <c r="K38" s="239"/>
      <c r="L38" s="239" t="s">
        <v>340</v>
      </c>
      <c r="M38" s="301">
        <v>4</v>
      </c>
      <c r="N38" s="301">
        <v>7.85</v>
      </c>
    </row>
    <row r="39" spans="2:14" ht="8.25" customHeight="1">
      <c r="B39" s="280"/>
      <c r="C39" s="280"/>
      <c r="D39" s="280"/>
      <c r="E39" s="280"/>
      <c r="F39" s="281"/>
      <c r="G39" s="280"/>
      <c r="I39" s="237"/>
      <c r="J39" s="237"/>
      <c r="K39" s="237"/>
      <c r="L39" s="237" t="s">
        <v>341</v>
      </c>
      <c r="M39" s="261">
        <v>0.81</v>
      </c>
      <c r="N39" s="261">
        <v>1.99</v>
      </c>
    </row>
    <row r="40" spans="2:14">
      <c r="B40" s="298"/>
      <c r="C40" s="298"/>
      <c r="D40" s="280"/>
      <c r="E40" s="280"/>
      <c r="F40" s="281"/>
      <c r="G40" s="280"/>
      <c r="I40" s="237"/>
      <c r="J40" s="237"/>
      <c r="K40" s="237"/>
      <c r="L40" s="237" t="s">
        <v>342</v>
      </c>
      <c r="M40" s="261">
        <v>1.46</v>
      </c>
      <c r="N40" s="261">
        <v>3.16</v>
      </c>
    </row>
    <row r="41" spans="2:14">
      <c r="B41" s="1034" t="str">
        <f>PREENCHER!E16&amp;" - Prefeito"</f>
        <v>GILMAR FUHR - Prefeito</v>
      </c>
      <c r="C41" s="1034"/>
      <c r="D41" s="1034"/>
      <c r="E41" s="280"/>
      <c r="F41" s="281"/>
      <c r="G41" s="280"/>
      <c r="I41" s="237"/>
      <c r="J41" s="237"/>
      <c r="K41" s="237"/>
      <c r="L41" s="237" t="s">
        <v>343</v>
      </c>
      <c r="M41" s="261">
        <v>0.94</v>
      </c>
      <c r="N41" s="261">
        <v>1.33</v>
      </c>
    </row>
    <row r="42" spans="2:14">
      <c r="B42" s="1031" t="str">
        <f>"CPF nº"&amp;PREENCHER!E17</f>
        <v>CPF nº968.607.900-91</v>
      </c>
      <c r="C42" s="1031"/>
      <c r="D42" s="1031"/>
      <c r="I42" s="237"/>
      <c r="J42" s="237"/>
      <c r="K42" s="237"/>
      <c r="L42" s="237" t="s">
        <v>346</v>
      </c>
      <c r="M42" s="261">
        <v>0.3</v>
      </c>
      <c r="N42" s="261">
        <v>0.82</v>
      </c>
    </row>
    <row r="43" spans="2:14">
      <c r="I43" s="237"/>
      <c r="J43" s="237"/>
      <c r="K43" s="237"/>
      <c r="L43" s="237" t="s">
        <v>349</v>
      </c>
      <c r="M43" s="261">
        <v>3.5</v>
      </c>
      <c r="N43" s="261">
        <v>6.22</v>
      </c>
    </row>
    <row r="44" spans="2:14">
      <c r="I44" s="237"/>
      <c r="J44" s="237"/>
      <c r="K44" s="237"/>
      <c r="L44" s="237" t="s">
        <v>350</v>
      </c>
      <c r="M44" s="261">
        <v>20.34</v>
      </c>
      <c r="N44" s="261">
        <v>25</v>
      </c>
    </row>
    <row r="45" spans="2:14">
      <c r="I45" s="237"/>
      <c r="J45" s="237"/>
      <c r="K45" s="237"/>
      <c r="L45" s="237" t="s">
        <v>351</v>
      </c>
      <c r="M45" s="261">
        <v>19.600000000000001</v>
      </c>
      <c r="N45" s="261">
        <v>24.23</v>
      </c>
    </row>
    <row r="46" spans="2:14">
      <c r="I46" s="237"/>
      <c r="J46" s="237"/>
      <c r="K46" s="237"/>
      <c r="L46" s="237" t="s">
        <v>352</v>
      </c>
      <c r="M46" s="261">
        <v>20.76</v>
      </c>
      <c r="N46" s="261">
        <v>26.44</v>
      </c>
    </row>
    <row r="47" spans="2:14">
      <c r="I47" s="237"/>
      <c r="J47" s="237"/>
      <c r="K47" s="237"/>
      <c r="L47" s="237" t="s">
        <v>353</v>
      </c>
      <c r="M47" s="261">
        <v>24</v>
      </c>
      <c r="N47" s="261">
        <v>27.86</v>
      </c>
    </row>
    <row r="48" spans="2:14">
      <c r="I48" s="237"/>
      <c r="J48" s="237"/>
      <c r="K48" s="237"/>
      <c r="L48" s="237" t="s">
        <v>354</v>
      </c>
      <c r="M48" s="261">
        <v>22.8</v>
      </c>
      <c r="N48" s="261">
        <v>30.95</v>
      </c>
    </row>
    <row r="49" spans="9:14">
      <c r="I49" s="237"/>
      <c r="J49" s="237"/>
      <c r="K49" s="237"/>
      <c r="L49" s="237" t="s">
        <v>355</v>
      </c>
      <c r="M49" s="261">
        <v>11.1</v>
      </c>
      <c r="N49" s="261">
        <v>16.8</v>
      </c>
    </row>
    <row r="50" spans="9:14">
      <c r="I50" s="237"/>
      <c r="J50" s="237"/>
      <c r="K50" s="237"/>
      <c r="L50" s="237"/>
      <c r="M50" s="237"/>
      <c r="N50" s="237"/>
    </row>
    <row r="51" spans="9:14">
      <c r="I51" s="237"/>
      <c r="J51" s="237"/>
      <c r="K51" s="237"/>
      <c r="L51" s="237"/>
      <c r="M51" s="237"/>
      <c r="N51" s="237"/>
    </row>
    <row r="52" spans="9:14">
      <c r="I52" s="237"/>
      <c r="J52" s="237"/>
      <c r="K52" s="237"/>
      <c r="L52" s="237"/>
      <c r="M52" s="237"/>
      <c r="N52" s="237"/>
    </row>
    <row r="53" spans="9:14">
      <c r="I53" s="237"/>
      <c r="J53" s="237"/>
      <c r="K53" s="237"/>
      <c r="L53" s="237"/>
      <c r="M53" s="237"/>
      <c r="N53" s="237"/>
    </row>
    <row r="54" spans="9:14">
      <c r="I54" s="237"/>
      <c r="J54" s="237"/>
      <c r="K54" s="237"/>
      <c r="L54" s="237"/>
      <c r="M54" s="237"/>
      <c r="N54" s="237"/>
    </row>
    <row r="55" spans="9:14">
      <c r="I55" s="237"/>
      <c r="J55" s="237"/>
      <c r="K55" s="237"/>
      <c r="L55" s="237"/>
      <c r="M55" s="237"/>
      <c r="N55" s="237"/>
    </row>
    <row r="56" spans="9:14">
      <c r="I56" s="237"/>
      <c r="J56" s="237"/>
      <c r="K56" s="237"/>
      <c r="L56" s="237"/>
      <c r="M56" s="237"/>
      <c r="N56" s="237"/>
    </row>
    <row r="57" spans="9:14">
      <c r="I57" s="237"/>
      <c r="J57" s="237"/>
      <c r="K57" s="237"/>
      <c r="L57" s="237"/>
      <c r="M57" s="237"/>
      <c r="N57" s="237"/>
    </row>
    <row r="58" spans="9:14">
      <c r="I58" s="237"/>
      <c r="J58" s="237"/>
      <c r="K58" s="237"/>
      <c r="L58" s="237"/>
      <c r="M58" s="237"/>
      <c r="N58" s="237"/>
    </row>
    <row r="59" spans="9:14">
      <c r="I59" s="237"/>
      <c r="J59" s="237"/>
      <c r="K59" s="237"/>
      <c r="L59" s="237"/>
      <c r="M59" s="237"/>
      <c r="N59" s="237"/>
    </row>
    <row r="60" spans="9:14">
      <c r="I60" s="237"/>
      <c r="J60" s="237"/>
      <c r="K60" s="237"/>
      <c r="L60" s="237"/>
      <c r="M60" s="237"/>
      <c r="N60" s="237"/>
    </row>
    <row r="61" spans="9:14">
      <c r="I61" s="237"/>
      <c r="J61" s="237"/>
      <c r="K61" s="237"/>
      <c r="L61" s="237"/>
      <c r="M61" s="237"/>
      <c r="N61" s="237"/>
    </row>
    <row r="62" spans="9:14">
      <c r="I62" s="237"/>
      <c r="J62" s="237"/>
      <c r="K62" s="237"/>
      <c r="L62" s="237"/>
      <c r="M62" s="237"/>
      <c r="N62" s="237"/>
    </row>
    <row r="63" spans="9:14">
      <c r="I63" s="237"/>
      <c r="J63" s="237"/>
      <c r="K63" s="237"/>
      <c r="L63" s="237"/>
      <c r="M63" s="237"/>
      <c r="N63" s="237"/>
    </row>
    <row r="64" spans="9:14">
      <c r="I64" s="237"/>
      <c r="J64" s="237"/>
      <c r="K64" s="237"/>
      <c r="L64" s="237"/>
      <c r="M64" s="237"/>
      <c r="N64" s="237"/>
    </row>
  </sheetData>
  <sheetProtection password="EBAE" sheet="1"/>
  <mergeCells count="31">
    <mergeCell ref="B42:D42"/>
    <mergeCell ref="E33:G33"/>
    <mergeCell ref="B34:G34"/>
    <mergeCell ref="B36:D36"/>
    <mergeCell ref="B37:D37"/>
    <mergeCell ref="B38:D38"/>
    <mergeCell ref="B41:D41"/>
    <mergeCell ref="B26:B27"/>
    <mergeCell ref="C26:C27"/>
    <mergeCell ref="E26:E27"/>
    <mergeCell ref="B29:E29"/>
    <mergeCell ref="F29:G30"/>
    <mergeCell ref="B30:D30"/>
    <mergeCell ref="B25:E25"/>
    <mergeCell ref="B9:G9"/>
    <mergeCell ref="B11:C11"/>
    <mergeCell ref="D11:G11"/>
    <mergeCell ref="B13:D13"/>
    <mergeCell ref="C14:D14"/>
    <mergeCell ref="C15:D15"/>
    <mergeCell ref="C16:D16"/>
    <mergeCell ref="C17:D17"/>
    <mergeCell ref="C18:D18"/>
    <mergeCell ref="C19:D19"/>
    <mergeCell ref="F19:G23"/>
    <mergeCell ref="B7:G7"/>
    <mergeCell ref="B1:G1"/>
    <mergeCell ref="B3:G3"/>
    <mergeCell ref="B4:G4"/>
    <mergeCell ref="B5:G5"/>
    <mergeCell ref="B6:G6"/>
  </mergeCells>
  <dataValidations count="2">
    <dataValidation type="decimal" allowBlank="1" showInputMessage="1" showErrorMessage="1" error="O valor inserido está fora dos limites estabelecidos pelo acórdão 2622/2013 do TCU ou é inválido." sqref="E20:E23 JA20:JA23 SW20:SW23 ACS20:ACS23 AMO20:AMO23 AWK20:AWK23 BGG20:BGG23 BQC20:BQC23 BZY20:BZY23 CJU20:CJU23 CTQ20:CTQ23 DDM20:DDM23 DNI20:DNI23 DXE20:DXE23 EHA20:EHA23 EQW20:EQW23 FAS20:FAS23 FKO20:FKO23 FUK20:FUK23 GEG20:GEG23 GOC20:GOC23 GXY20:GXY23 HHU20:HHU23 HRQ20:HRQ23 IBM20:IBM23 ILI20:ILI23 IVE20:IVE23 JFA20:JFA23 JOW20:JOW23 JYS20:JYS23 KIO20:KIO23 KSK20:KSK23 LCG20:LCG23 LMC20:LMC23 LVY20:LVY23 MFU20:MFU23 MPQ20:MPQ23 MZM20:MZM23 NJI20:NJI23 NTE20:NTE23 ODA20:ODA23 OMW20:OMW23 OWS20:OWS23 PGO20:PGO23 PQK20:PQK23 QAG20:QAG23 QKC20:QKC23 QTY20:QTY23 RDU20:RDU23 RNQ20:RNQ23 RXM20:RXM23 SHI20:SHI23 SRE20:SRE23 TBA20:TBA23 TKW20:TKW23 TUS20:TUS23 UEO20:UEO23 UOK20:UOK23 UYG20:UYG23 VIC20:VIC23 VRY20:VRY23 WBU20:WBU23 WLQ20:WLQ23 WVM20:WVM23 E65556:E65559 JA65556:JA65559 SW65556:SW65559 ACS65556:ACS65559 AMO65556:AMO65559 AWK65556:AWK65559 BGG65556:BGG65559 BQC65556:BQC65559 BZY65556:BZY65559 CJU65556:CJU65559 CTQ65556:CTQ65559 DDM65556:DDM65559 DNI65556:DNI65559 DXE65556:DXE65559 EHA65556:EHA65559 EQW65556:EQW65559 FAS65556:FAS65559 FKO65556:FKO65559 FUK65556:FUK65559 GEG65556:GEG65559 GOC65556:GOC65559 GXY65556:GXY65559 HHU65556:HHU65559 HRQ65556:HRQ65559 IBM65556:IBM65559 ILI65556:ILI65559 IVE65556:IVE65559 JFA65556:JFA65559 JOW65556:JOW65559 JYS65556:JYS65559 KIO65556:KIO65559 KSK65556:KSK65559 LCG65556:LCG65559 LMC65556:LMC65559 LVY65556:LVY65559 MFU65556:MFU65559 MPQ65556:MPQ65559 MZM65556:MZM65559 NJI65556:NJI65559 NTE65556:NTE65559 ODA65556:ODA65559 OMW65556:OMW65559 OWS65556:OWS65559 PGO65556:PGO65559 PQK65556:PQK65559 QAG65556:QAG65559 QKC65556:QKC65559 QTY65556:QTY65559 RDU65556:RDU65559 RNQ65556:RNQ65559 RXM65556:RXM65559 SHI65556:SHI65559 SRE65556:SRE65559 TBA65556:TBA65559 TKW65556:TKW65559 TUS65556:TUS65559 UEO65556:UEO65559 UOK65556:UOK65559 UYG65556:UYG65559 VIC65556:VIC65559 VRY65556:VRY65559 WBU65556:WBU65559 WLQ65556:WLQ65559 WVM65556:WVM65559 E131092:E131095 JA131092:JA131095 SW131092:SW131095 ACS131092:ACS131095 AMO131092:AMO131095 AWK131092:AWK131095 BGG131092:BGG131095 BQC131092:BQC131095 BZY131092:BZY131095 CJU131092:CJU131095 CTQ131092:CTQ131095 DDM131092:DDM131095 DNI131092:DNI131095 DXE131092:DXE131095 EHA131092:EHA131095 EQW131092:EQW131095 FAS131092:FAS131095 FKO131092:FKO131095 FUK131092:FUK131095 GEG131092:GEG131095 GOC131092:GOC131095 GXY131092:GXY131095 HHU131092:HHU131095 HRQ131092:HRQ131095 IBM131092:IBM131095 ILI131092:ILI131095 IVE131092:IVE131095 JFA131092:JFA131095 JOW131092:JOW131095 JYS131092:JYS131095 KIO131092:KIO131095 KSK131092:KSK131095 LCG131092:LCG131095 LMC131092:LMC131095 LVY131092:LVY131095 MFU131092:MFU131095 MPQ131092:MPQ131095 MZM131092:MZM131095 NJI131092:NJI131095 NTE131092:NTE131095 ODA131092:ODA131095 OMW131092:OMW131095 OWS131092:OWS131095 PGO131092:PGO131095 PQK131092:PQK131095 QAG131092:QAG131095 QKC131092:QKC131095 QTY131092:QTY131095 RDU131092:RDU131095 RNQ131092:RNQ131095 RXM131092:RXM131095 SHI131092:SHI131095 SRE131092:SRE131095 TBA131092:TBA131095 TKW131092:TKW131095 TUS131092:TUS131095 UEO131092:UEO131095 UOK131092:UOK131095 UYG131092:UYG131095 VIC131092:VIC131095 VRY131092:VRY131095 WBU131092:WBU131095 WLQ131092:WLQ131095 WVM131092:WVM131095 E196628:E196631 JA196628:JA196631 SW196628:SW196631 ACS196628:ACS196631 AMO196628:AMO196631 AWK196628:AWK196631 BGG196628:BGG196631 BQC196628:BQC196631 BZY196628:BZY196631 CJU196628:CJU196631 CTQ196628:CTQ196631 DDM196628:DDM196631 DNI196628:DNI196631 DXE196628:DXE196631 EHA196628:EHA196631 EQW196628:EQW196631 FAS196628:FAS196631 FKO196628:FKO196631 FUK196628:FUK196631 GEG196628:GEG196631 GOC196628:GOC196631 GXY196628:GXY196631 HHU196628:HHU196631 HRQ196628:HRQ196631 IBM196628:IBM196631 ILI196628:ILI196631 IVE196628:IVE196631 JFA196628:JFA196631 JOW196628:JOW196631 JYS196628:JYS196631 KIO196628:KIO196631 KSK196628:KSK196631 LCG196628:LCG196631 LMC196628:LMC196631 LVY196628:LVY196631 MFU196628:MFU196631 MPQ196628:MPQ196631 MZM196628:MZM196631 NJI196628:NJI196631 NTE196628:NTE196631 ODA196628:ODA196631 OMW196628:OMW196631 OWS196628:OWS196631 PGO196628:PGO196631 PQK196628:PQK196631 QAG196628:QAG196631 QKC196628:QKC196631 QTY196628:QTY196631 RDU196628:RDU196631 RNQ196628:RNQ196631 RXM196628:RXM196631 SHI196628:SHI196631 SRE196628:SRE196631 TBA196628:TBA196631 TKW196628:TKW196631 TUS196628:TUS196631 UEO196628:UEO196631 UOK196628:UOK196631 UYG196628:UYG196631 VIC196628:VIC196631 VRY196628:VRY196631 WBU196628:WBU196631 WLQ196628:WLQ196631 WVM196628:WVM196631 E262164:E262167 JA262164:JA262167 SW262164:SW262167 ACS262164:ACS262167 AMO262164:AMO262167 AWK262164:AWK262167 BGG262164:BGG262167 BQC262164:BQC262167 BZY262164:BZY262167 CJU262164:CJU262167 CTQ262164:CTQ262167 DDM262164:DDM262167 DNI262164:DNI262167 DXE262164:DXE262167 EHA262164:EHA262167 EQW262164:EQW262167 FAS262164:FAS262167 FKO262164:FKO262167 FUK262164:FUK262167 GEG262164:GEG262167 GOC262164:GOC262167 GXY262164:GXY262167 HHU262164:HHU262167 HRQ262164:HRQ262167 IBM262164:IBM262167 ILI262164:ILI262167 IVE262164:IVE262167 JFA262164:JFA262167 JOW262164:JOW262167 JYS262164:JYS262167 KIO262164:KIO262167 KSK262164:KSK262167 LCG262164:LCG262167 LMC262164:LMC262167 LVY262164:LVY262167 MFU262164:MFU262167 MPQ262164:MPQ262167 MZM262164:MZM262167 NJI262164:NJI262167 NTE262164:NTE262167 ODA262164:ODA262167 OMW262164:OMW262167 OWS262164:OWS262167 PGO262164:PGO262167 PQK262164:PQK262167 QAG262164:QAG262167 QKC262164:QKC262167 QTY262164:QTY262167 RDU262164:RDU262167 RNQ262164:RNQ262167 RXM262164:RXM262167 SHI262164:SHI262167 SRE262164:SRE262167 TBA262164:TBA262167 TKW262164:TKW262167 TUS262164:TUS262167 UEO262164:UEO262167 UOK262164:UOK262167 UYG262164:UYG262167 VIC262164:VIC262167 VRY262164:VRY262167 WBU262164:WBU262167 WLQ262164:WLQ262167 WVM262164:WVM262167 E327700:E327703 JA327700:JA327703 SW327700:SW327703 ACS327700:ACS327703 AMO327700:AMO327703 AWK327700:AWK327703 BGG327700:BGG327703 BQC327700:BQC327703 BZY327700:BZY327703 CJU327700:CJU327703 CTQ327700:CTQ327703 DDM327700:DDM327703 DNI327700:DNI327703 DXE327700:DXE327703 EHA327700:EHA327703 EQW327700:EQW327703 FAS327700:FAS327703 FKO327700:FKO327703 FUK327700:FUK327703 GEG327700:GEG327703 GOC327700:GOC327703 GXY327700:GXY327703 HHU327700:HHU327703 HRQ327700:HRQ327703 IBM327700:IBM327703 ILI327700:ILI327703 IVE327700:IVE327703 JFA327700:JFA327703 JOW327700:JOW327703 JYS327700:JYS327703 KIO327700:KIO327703 KSK327700:KSK327703 LCG327700:LCG327703 LMC327700:LMC327703 LVY327700:LVY327703 MFU327700:MFU327703 MPQ327700:MPQ327703 MZM327700:MZM327703 NJI327700:NJI327703 NTE327700:NTE327703 ODA327700:ODA327703 OMW327700:OMW327703 OWS327700:OWS327703 PGO327700:PGO327703 PQK327700:PQK327703 QAG327700:QAG327703 QKC327700:QKC327703 QTY327700:QTY327703 RDU327700:RDU327703 RNQ327700:RNQ327703 RXM327700:RXM327703 SHI327700:SHI327703 SRE327700:SRE327703 TBA327700:TBA327703 TKW327700:TKW327703 TUS327700:TUS327703 UEO327700:UEO327703 UOK327700:UOK327703 UYG327700:UYG327703 VIC327700:VIC327703 VRY327700:VRY327703 WBU327700:WBU327703 WLQ327700:WLQ327703 WVM327700:WVM327703 E393236:E393239 JA393236:JA393239 SW393236:SW393239 ACS393236:ACS393239 AMO393236:AMO393239 AWK393236:AWK393239 BGG393236:BGG393239 BQC393236:BQC393239 BZY393236:BZY393239 CJU393236:CJU393239 CTQ393236:CTQ393239 DDM393236:DDM393239 DNI393236:DNI393239 DXE393236:DXE393239 EHA393236:EHA393239 EQW393236:EQW393239 FAS393236:FAS393239 FKO393236:FKO393239 FUK393236:FUK393239 GEG393236:GEG393239 GOC393236:GOC393239 GXY393236:GXY393239 HHU393236:HHU393239 HRQ393236:HRQ393239 IBM393236:IBM393239 ILI393236:ILI393239 IVE393236:IVE393239 JFA393236:JFA393239 JOW393236:JOW393239 JYS393236:JYS393239 KIO393236:KIO393239 KSK393236:KSK393239 LCG393236:LCG393239 LMC393236:LMC393239 LVY393236:LVY393239 MFU393236:MFU393239 MPQ393236:MPQ393239 MZM393236:MZM393239 NJI393236:NJI393239 NTE393236:NTE393239 ODA393236:ODA393239 OMW393236:OMW393239 OWS393236:OWS393239 PGO393236:PGO393239 PQK393236:PQK393239 QAG393236:QAG393239 QKC393236:QKC393239 QTY393236:QTY393239 RDU393236:RDU393239 RNQ393236:RNQ393239 RXM393236:RXM393239 SHI393236:SHI393239 SRE393236:SRE393239 TBA393236:TBA393239 TKW393236:TKW393239 TUS393236:TUS393239 UEO393236:UEO393239 UOK393236:UOK393239 UYG393236:UYG393239 VIC393236:VIC393239 VRY393236:VRY393239 WBU393236:WBU393239 WLQ393236:WLQ393239 WVM393236:WVM393239 E458772:E458775 JA458772:JA458775 SW458772:SW458775 ACS458772:ACS458775 AMO458772:AMO458775 AWK458772:AWK458775 BGG458772:BGG458775 BQC458772:BQC458775 BZY458772:BZY458775 CJU458772:CJU458775 CTQ458772:CTQ458775 DDM458772:DDM458775 DNI458772:DNI458775 DXE458772:DXE458775 EHA458772:EHA458775 EQW458772:EQW458775 FAS458772:FAS458775 FKO458772:FKO458775 FUK458772:FUK458775 GEG458772:GEG458775 GOC458772:GOC458775 GXY458772:GXY458775 HHU458772:HHU458775 HRQ458772:HRQ458775 IBM458772:IBM458775 ILI458772:ILI458775 IVE458772:IVE458775 JFA458772:JFA458775 JOW458772:JOW458775 JYS458772:JYS458775 KIO458772:KIO458775 KSK458772:KSK458775 LCG458772:LCG458775 LMC458772:LMC458775 LVY458772:LVY458775 MFU458772:MFU458775 MPQ458772:MPQ458775 MZM458772:MZM458775 NJI458772:NJI458775 NTE458772:NTE458775 ODA458772:ODA458775 OMW458772:OMW458775 OWS458772:OWS458775 PGO458772:PGO458775 PQK458772:PQK458775 QAG458772:QAG458775 QKC458772:QKC458775 QTY458772:QTY458775 RDU458772:RDU458775 RNQ458772:RNQ458775 RXM458772:RXM458775 SHI458772:SHI458775 SRE458772:SRE458775 TBA458772:TBA458775 TKW458772:TKW458775 TUS458772:TUS458775 UEO458772:UEO458775 UOK458772:UOK458775 UYG458772:UYG458775 VIC458772:VIC458775 VRY458772:VRY458775 WBU458772:WBU458775 WLQ458772:WLQ458775 WVM458772:WVM458775 E524308:E524311 JA524308:JA524311 SW524308:SW524311 ACS524308:ACS524311 AMO524308:AMO524311 AWK524308:AWK524311 BGG524308:BGG524311 BQC524308:BQC524311 BZY524308:BZY524311 CJU524308:CJU524311 CTQ524308:CTQ524311 DDM524308:DDM524311 DNI524308:DNI524311 DXE524308:DXE524311 EHA524308:EHA524311 EQW524308:EQW524311 FAS524308:FAS524311 FKO524308:FKO524311 FUK524308:FUK524311 GEG524308:GEG524311 GOC524308:GOC524311 GXY524308:GXY524311 HHU524308:HHU524311 HRQ524308:HRQ524311 IBM524308:IBM524311 ILI524308:ILI524311 IVE524308:IVE524311 JFA524308:JFA524311 JOW524308:JOW524311 JYS524308:JYS524311 KIO524308:KIO524311 KSK524308:KSK524311 LCG524308:LCG524311 LMC524308:LMC524311 LVY524308:LVY524311 MFU524308:MFU524311 MPQ524308:MPQ524311 MZM524308:MZM524311 NJI524308:NJI524311 NTE524308:NTE524311 ODA524308:ODA524311 OMW524308:OMW524311 OWS524308:OWS524311 PGO524308:PGO524311 PQK524308:PQK524311 QAG524308:QAG524311 QKC524308:QKC524311 QTY524308:QTY524311 RDU524308:RDU524311 RNQ524308:RNQ524311 RXM524308:RXM524311 SHI524308:SHI524311 SRE524308:SRE524311 TBA524308:TBA524311 TKW524308:TKW524311 TUS524308:TUS524311 UEO524308:UEO524311 UOK524308:UOK524311 UYG524308:UYG524311 VIC524308:VIC524311 VRY524308:VRY524311 WBU524308:WBU524311 WLQ524308:WLQ524311 WVM524308:WVM524311 E589844:E589847 JA589844:JA589847 SW589844:SW589847 ACS589844:ACS589847 AMO589844:AMO589847 AWK589844:AWK589847 BGG589844:BGG589847 BQC589844:BQC589847 BZY589844:BZY589847 CJU589844:CJU589847 CTQ589844:CTQ589847 DDM589844:DDM589847 DNI589844:DNI589847 DXE589844:DXE589847 EHA589844:EHA589847 EQW589844:EQW589847 FAS589844:FAS589847 FKO589844:FKO589847 FUK589844:FUK589847 GEG589844:GEG589847 GOC589844:GOC589847 GXY589844:GXY589847 HHU589844:HHU589847 HRQ589844:HRQ589847 IBM589844:IBM589847 ILI589844:ILI589847 IVE589844:IVE589847 JFA589844:JFA589847 JOW589844:JOW589847 JYS589844:JYS589847 KIO589844:KIO589847 KSK589844:KSK589847 LCG589844:LCG589847 LMC589844:LMC589847 LVY589844:LVY589847 MFU589844:MFU589847 MPQ589844:MPQ589847 MZM589844:MZM589847 NJI589844:NJI589847 NTE589844:NTE589847 ODA589844:ODA589847 OMW589844:OMW589847 OWS589844:OWS589847 PGO589844:PGO589847 PQK589844:PQK589847 QAG589844:QAG589847 QKC589844:QKC589847 QTY589844:QTY589847 RDU589844:RDU589847 RNQ589844:RNQ589847 RXM589844:RXM589847 SHI589844:SHI589847 SRE589844:SRE589847 TBA589844:TBA589847 TKW589844:TKW589847 TUS589844:TUS589847 UEO589844:UEO589847 UOK589844:UOK589847 UYG589844:UYG589847 VIC589844:VIC589847 VRY589844:VRY589847 WBU589844:WBU589847 WLQ589844:WLQ589847 WVM589844:WVM589847 E655380:E655383 JA655380:JA655383 SW655380:SW655383 ACS655380:ACS655383 AMO655380:AMO655383 AWK655380:AWK655383 BGG655380:BGG655383 BQC655380:BQC655383 BZY655380:BZY655383 CJU655380:CJU655383 CTQ655380:CTQ655383 DDM655380:DDM655383 DNI655380:DNI655383 DXE655380:DXE655383 EHA655380:EHA655383 EQW655380:EQW655383 FAS655380:FAS655383 FKO655380:FKO655383 FUK655380:FUK655383 GEG655380:GEG655383 GOC655380:GOC655383 GXY655380:GXY655383 HHU655380:HHU655383 HRQ655380:HRQ655383 IBM655380:IBM655383 ILI655380:ILI655383 IVE655380:IVE655383 JFA655380:JFA655383 JOW655380:JOW655383 JYS655380:JYS655383 KIO655380:KIO655383 KSK655380:KSK655383 LCG655380:LCG655383 LMC655380:LMC655383 LVY655380:LVY655383 MFU655380:MFU655383 MPQ655380:MPQ655383 MZM655380:MZM655383 NJI655380:NJI655383 NTE655380:NTE655383 ODA655380:ODA655383 OMW655380:OMW655383 OWS655380:OWS655383 PGO655380:PGO655383 PQK655380:PQK655383 QAG655380:QAG655383 QKC655380:QKC655383 QTY655380:QTY655383 RDU655380:RDU655383 RNQ655380:RNQ655383 RXM655380:RXM655383 SHI655380:SHI655383 SRE655380:SRE655383 TBA655380:TBA655383 TKW655380:TKW655383 TUS655380:TUS655383 UEO655380:UEO655383 UOK655380:UOK655383 UYG655380:UYG655383 VIC655380:VIC655383 VRY655380:VRY655383 WBU655380:WBU655383 WLQ655380:WLQ655383 WVM655380:WVM655383 E720916:E720919 JA720916:JA720919 SW720916:SW720919 ACS720916:ACS720919 AMO720916:AMO720919 AWK720916:AWK720919 BGG720916:BGG720919 BQC720916:BQC720919 BZY720916:BZY720919 CJU720916:CJU720919 CTQ720916:CTQ720919 DDM720916:DDM720919 DNI720916:DNI720919 DXE720916:DXE720919 EHA720916:EHA720919 EQW720916:EQW720919 FAS720916:FAS720919 FKO720916:FKO720919 FUK720916:FUK720919 GEG720916:GEG720919 GOC720916:GOC720919 GXY720916:GXY720919 HHU720916:HHU720919 HRQ720916:HRQ720919 IBM720916:IBM720919 ILI720916:ILI720919 IVE720916:IVE720919 JFA720916:JFA720919 JOW720916:JOW720919 JYS720916:JYS720919 KIO720916:KIO720919 KSK720916:KSK720919 LCG720916:LCG720919 LMC720916:LMC720919 LVY720916:LVY720919 MFU720916:MFU720919 MPQ720916:MPQ720919 MZM720916:MZM720919 NJI720916:NJI720919 NTE720916:NTE720919 ODA720916:ODA720919 OMW720916:OMW720919 OWS720916:OWS720919 PGO720916:PGO720919 PQK720916:PQK720919 QAG720916:QAG720919 QKC720916:QKC720919 QTY720916:QTY720919 RDU720916:RDU720919 RNQ720916:RNQ720919 RXM720916:RXM720919 SHI720916:SHI720919 SRE720916:SRE720919 TBA720916:TBA720919 TKW720916:TKW720919 TUS720916:TUS720919 UEO720916:UEO720919 UOK720916:UOK720919 UYG720916:UYG720919 VIC720916:VIC720919 VRY720916:VRY720919 WBU720916:WBU720919 WLQ720916:WLQ720919 WVM720916:WVM720919 E786452:E786455 JA786452:JA786455 SW786452:SW786455 ACS786452:ACS786455 AMO786452:AMO786455 AWK786452:AWK786455 BGG786452:BGG786455 BQC786452:BQC786455 BZY786452:BZY786455 CJU786452:CJU786455 CTQ786452:CTQ786455 DDM786452:DDM786455 DNI786452:DNI786455 DXE786452:DXE786455 EHA786452:EHA786455 EQW786452:EQW786455 FAS786452:FAS786455 FKO786452:FKO786455 FUK786452:FUK786455 GEG786452:GEG786455 GOC786452:GOC786455 GXY786452:GXY786455 HHU786452:HHU786455 HRQ786452:HRQ786455 IBM786452:IBM786455 ILI786452:ILI786455 IVE786452:IVE786455 JFA786452:JFA786455 JOW786452:JOW786455 JYS786452:JYS786455 KIO786452:KIO786455 KSK786452:KSK786455 LCG786452:LCG786455 LMC786452:LMC786455 LVY786452:LVY786455 MFU786452:MFU786455 MPQ786452:MPQ786455 MZM786452:MZM786455 NJI786452:NJI786455 NTE786452:NTE786455 ODA786452:ODA786455 OMW786452:OMW786455 OWS786452:OWS786455 PGO786452:PGO786455 PQK786452:PQK786455 QAG786452:QAG786455 QKC786452:QKC786455 QTY786452:QTY786455 RDU786452:RDU786455 RNQ786452:RNQ786455 RXM786452:RXM786455 SHI786452:SHI786455 SRE786452:SRE786455 TBA786452:TBA786455 TKW786452:TKW786455 TUS786452:TUS786455 UEO786452:UEO786455 UOK786452:UOK786455 UYG786452:UYG786455 VIC786452:VIC786455 VRY786452:VRY786455 WBU786452:WBU786455 WLQ786452:WLQ786455 WVM786452:WVM786455 E851988:E851991 JA851988:JA851991 SW851988:SW851991 ACS851988:ACS851991 AMO851988:AMO851991 AWK851988:AWK851991 BGG851988:BGG851991 BQC851988:BQC851991 BZY851988:BZY851991 CJU851988:CJU851991 CTQ851988:CTQ851991 DDM851988:DDM851991 DNI851988:DNI851991 DXE851988:DXE851991 EHA851988:EHA851991 EQW851988:EQW851991 FAS851988:FAS851991 FKO851988:FKO851991 FUK851988:FUK851991 GEG851988:GEG851991 GOC851988:GOC851991 GXY851988:GXY851991 HHU851988:HHU851991 HRQ851988:HRQ851991 IBM851988:IBM851991 ILI851988:ILI851991 IVE851988:IVE851991 JFA851988:JFA851991 JOW851988:JOW851991 JYS851988:JYS851991 KIO851988:KIO851991 KSK851988:KSK851991 LCG851988:LCG851991 LMC851988:LMC851991 LVY851988:LVY851991 MFU851988:MFU851991 MPQ851988:MPQ851991 MZM851988:MZM851991 NJI851988:NJI851991 NTE851988:NTE851991 ODA851988:ODA851991 OMW851988:OMW851991 OWS851988:OWS851991 PGO851988:PGO851991 PQK851988:PQK851991 QAG851988:QAG851991 QKC851988:QKC851991 QTY851988:QTY851991 RDU851988:RDU851991 RNQ851988:RNQ851991 RXM851988:RXM851991 SHI851988:SHI851991 SRE851988:SRE851991 TBA851988:TBA851991 TKW851988:TKW851991 TUS851988:TUS851991 UEO851988:UEO851991 UOK851988:UOK851991 UYG851988:UYG851991 VIC851988:VIC851991 VRY851988:VRY851991 WBU851988:WBU851991 WLQ851988:WLQ851991 WVM851988:WVM851991 E917524:E917527 JA917524:JA917527 SW917524:SW917527 ACS917524:ACS917527 AMO917524:AMO917527 AWK917524:AWK917527 BGG917524:BGG917527 BQC917524:BQC917527 BZY917524:BZY917527 CJU917524:CJU917527 CTQ917524:CTQ917527 DDM917524:DDM917527 DNI917524:DNI917527 DXE917524:DXE917527 EHA917524:EHA917527 EQW917524:EQW917527 FAS917524:FAS917527 FKO917524:FKO917527 FUK917524:FUK917527 GEG917524:GEG917527 GOC917524:GOC917527 GXY917524:GXY917527 HHU917524:HHU917527 HRQ917524:HRQ917527 IBM917524:IBM917527 ILI917524:ILI917527 IVE917524:IVE917527 JFA917524:JFA917527 JOW917524:JOW917527 JYS917524:JYS917527 KIO917524:KIO917527 KSK917524:KSK917527 LCG917524:LCG917527 LMC917524:LMC917527 LVY917524:LVY917527 MFU917524:MFU917527 MPQ917524:MPQ917527 MZM917524:MZM917527 NJI917524:NJI917527 NTE917524:NTE917527 ODA917524:ODA917527 OMW917524:OMW917527 OWS917524:OWS917527 PGO917524:PGO917527 PQK917524:PQK917527 QAG917524:QAG917527 QKC917524:QKC917527 QTY917524:QTY917527 RDU917524:RDU917527 RNQ917524:RNQ917527 RXM917524:RXM917527 SHI917524:SHI917527 SRE917524:SRE917527 TBA917524:TBA917527 TKW917524:TKW917527 TUS917524:TUS917527 UEO917524:UEO917527 UOK917524:UOK917527 UYG917524:UYG917527 VIC917524:VIC917527 VRY917524:VRY917527 WBU917524:WBU917527 WLQ917524:WLQ917527 WVM917524:WVM917527 E983060:E983063 JA983060:JA983063 SW983060:SW983063 ACS983060:ACS983063 AMO983060:AMO983063 AWK983060:AWK983063 BGG983060:BGG983063 BQC983060:BQC983063 BZY983060:BZY983063 CJU983060:CJU983063 CTQ983060:CTQ983063 DDM983060:DDM983063 DNI983060:DNI983063 DXE983060:DXE983063 EHA983060:EHA983063 EQW983060:EQW983063 FAS983060:FAS983063 FKO983060:FKO983063 FUK983060:FUK983063 GEG983060:GEG983063 GOC983060:GOC983063 GXY983060:GXY983063 HHU983060:HHU983063 HRQ983060:HRQ983063 IBM983060:IBM983063 ILI983060:ILI983063 IVE983060:IVE983063 JFA983060:JFA983063 JOW983060:JOW983063 JYS983060:JYS983063 KIO983060:KIO983063 KSK983060:KSK983063 LCG983060:LCG983063 LMC983060:LMC983063 LVY983060:LVY983063 MFU983060:MFU983063 MPQ983060:MPQ983063 MZM983060:MZM983063 NJI983060:NJI983063 NTE983060:NTE983063 ODA983060:ODA983063 OMW983060:OMW983063 OWS983060:OWS983063 PGO983060:PGO983063 PQK983060:PQK983063 QAG983060:QAG983063 QKC983060:QKC983063 QTY983060:QTY983063 RDU983060:RDU983063 RNQ983060:RNQ983063 RXM983060:RXM983063 SHI983060:SHI983063 SRE983060:SRE983063 TBA983060:TBA983063 TKW983060:TKW983063 TUS983060:TUS983063 UEO983060:UEO983063 UOK983060:UOK983063 UYG983060:UYG983063 VIC983060:VIC983063 VRY983060:VRY983063 WBU983060:WBU983063 WLQ983060:WLQ983063 WVM983060:WVM983063">
      <formula1>F20</formula1>
      <formula2>G20</formula2>
    </dataValidation>
    <dataValidation allowBlank="1" showInputMessage="1" showErrorMessage="1" error="O valor inserido está fora dos limites estabelecidos pelo acórdão 2622/2013 do TCU ou é inválido." sqref="E14:E19 JA14:JA19 SW14:SW19 ACS14:ACS19 AMO14:AMO19 AWK14:AWK19 BGG14:BGG19 BQC14:BQC19 BZY14:BZY19 CJU14:CJU19 CTQ14:CTQ19 DDM14:DDM19 DNI14:DNI19 DXE14:DXE19 EHA14:EHA19 EQW14:EQW19 FAS14:FAS19 FKO14:FKO19 FUK14:FUK19 GEG14:GEG19 GOC14:GOC19 GXY14:GXY19 HHU14:HHU19 HRQ14:HRQ19 IBM14:IBM19 ILI14:ILI19 IVE14:IVE19 JFA14:JFA19 JOW14:JOW19 JYS14:JYS19 KIO14:KIO19 KSK14:KSK19 LCG14:LCG19 LMC14:LMC19 LVY14:LVY19 MFU14:MFU19 MPQ14:MPQ19 MZM14:MZM19 NJI14:NJI19 NTE14:NTE19 ODA14:ODA19 OMW14:OMW19 OWS14:OWS19 PGO14:PGO19 PQK14:PQK19 QAG14:QAG19 QKC14:QKC19 QTY14:QTY19 RDU14:RDU19 RNQ14:RNQ19 RXM14:RXM19 SHI14:SHI19 SRE14:SRE19 TBA14:TBA19 TKW14:TKW19 TUS14:TUS19 UEO14:UEO19 UOK14:UOK19 UYG14:UYG19 VIC14:VIC19 VRY14:VRY19 WBU14:WBU19 WLQ14:WLQ19 WVM14:WVM19 E65550:E65555 JA65550:JA65555 SW65550:SW65555 ACS65550:ACS65555 AMO65550:AMO65555 AWK65550:AWK65555 BGG65550:BGG65555 BQC65550:BQC65555 BZY65550:BZY65555 CJU65550:CJU65555 CTQ65550:CTQ65555 DDM65550:DDM65555 DNI65550:DNI65555 DXE65550:DXE65555 EHA65550:EHA65555 EQW65550:EQW65555 FAS65550:FAS65555 FKO65550:FKO65555 FUK65550:FUK65555 GEG65550:GEG65555 GOC65550:GOC65555 GXY65550:GXY65555 HHU65550:HHU65555 HRQ65550:HRQ65555 IBM65550:IBM65555 ILI65550:ILI65555 IVE65550:IVE65555 JFA65550:JFA65555 JOW65550:JOW65555 JYS65550:JYS65555 KIO65550:KIO65555 KSK65550:KSK65555 LCG65550:LCG65555 LMC65550:LMC65555 LVY65550:LVY65555 MFU65550:MFU65555 MPQ65550:MPQ65555 MZM65550:MZM65555 NJI65550:NJI65555 NTE65550:NTE65555 ODA65550:ODA65555 OMW65550:OMW65555 OWS65550:OWS65555 PGO65550:PGO65555 PQK65550:PQK65555 QAG65550:QAG65555 QKC65550:QKC65555 QTY65550:QTY65555 RDU65550:RDU65555 RNQ65550:RNQ65555 RXM65550:RXM65555 SHI65550:SHI65555 SRE65550:SRE65555 TBA65550:TBA65555 TKW65550:TKW65555 TUS65550:TUS65555 UEO65550:UEO65555 UOK65550:UOK65555 UYG65550:UYG65555 VIC65550:VIC65555 VRY65550:VRY65555 WBU65550:WBU65555 WLQ65550:WLQ65555 WVM65550:WVM65555 E131086:E131091 JA131086:JA131091 SW131086:SW131091 ACS131086:ACS131091 AMO131086:AMO131091 AWK131086:AWK131091 BGG131086:BGG131091 BQC131086:BQC131091 BZY131086:BZY131091 CJU131086:CJU131091 CTQ131086:CTQ131091 DDM131086:DDM131091 DNI131086:DNI131091 DXE131086:DXE131091 EHA131086:EHA131091 EQW131086:EQW131091 FAS131086:FAS131091 FKO131086:FKO131091 FUK131086:FUK131091 GEG131086:GEG131091 GOC131086:GOC131091 GXY131086:GXY131091 HHU131086:HHU131091 HRQ131086:HRQ131091 IBM131086:IBM131091 ILI131086:ILI131091 IVE131086:IVE131091 JFA131086:JFA131091 JOW131086:JOW131091 JYS131086:JYS131091 KIO131086:KIO131091 KSK131086:KSK131091 LCG131086:LCG131091 LMC131086:LMC131091 LVY131086:LVY131091 MFU131086:MFU131091 MPQ131086:MPQ131091 MZM131086:MZM131091 NJI131086:NJI131091 NTE131086:NTE131091 ODA131086:ODA131091 OMW131086:OMW131091 OWS131086:OWS131091 PGO131086:PGO131091 PQK131086:PQK131091 QAG131086:QAG131091 QKC131086:QKC131091 QTY131086:QTY131091 RDU131086:RDU131091 RNQ131086:RNQ131091 RXM131086:RXM131091 SHI131086:SHI131091 SRE131086:SRE131091 TBA131086:TBA131091 TKW131086:TKW131091 TUS131086:TUS131091 UEO131086:UEO131091 UOK131086:UOK131091 UYG131086:UYG131091 VIC131086:VIC131091 VRY131086:VRY131091 WBU131086:WBU131091 WLQ131086:WLQ131091 WVM131086:WVM131091 E196622:E196627 JA196622:JA196627 SW196622:SW196627 ACS196622:ACS196627 AMO196622:AMO196627 AWK196622:AWK196627 BGG196622:BGG196627 BQC196622:BQC196627 BZY196622:BZY196627 CJU196622:CJU196627 CTQ196622:CTQ196627 DDM196622:DDM196627 DNI196622:DNI196627 DXE196622:DXE196627 EHA196622:EHA196627 EQW196622:EQW196627 FAS196622:FAS196627 FKO196622:FKO196627 FUK196622:FUK196627 GEG196622:GEG196627 GOC196622:GOC196627 GXY196622:GXY196627 HHU196622:HHU196627 HRQ196622:HRQ196627 IBM196622:IBM196627 ILI196622:ILI196627 IVE196622:IVE196627 JFA196622:JFA196627 JOW196622:JOW196627 JYS196622:JYS196627 KIO196622:KIO196627 KSK196622:KSK196627 LCG196622:LCG196627 LMC196622:LMC196627 LVY196622:LVY196627 MFU196622:MFU196627 MPQ196622:MPQ196627 MZM196622:MZM196627 NJI196622:NJI196627 NTE196622:NTE196627 ODA196622:ODA196627 OMW196622:OMW196627 OWS196622:OWS196627 PGO196622:PGO196627 PQK196622:PQK196627 QAG196622:QAG196627 QKC196622:QKC196627 QTY196622:QTY196627 RDU196622:RDU196627 RNQ196622:RNQ196627 RXM196622:RXM196627 SHI196622:SHI196627 SRE196622:SRE196627 TBA196622:TBA196627 TKW196622:TKW196627 TUS196622:TUS196627 UEO196622:UEO196627 UOK196622:UOK196627 UYG196622:UYG196627 VIC196622:VIC196627 VRY196622:VRY196627 WBU196622:WBU196627 WLQ196622:WLQ196627 WVM196622:WVM196627 E262158:E262163 JA262158:JA262163 SW262158:SW262163 ACS262158:ACS262163 AMO262158:AMO262163 AWK262158:AWK262163 BGG262158:BGG262163 BQC262158:BQC262163 BZY262158:BZY262163 CJU262158:CJU262163 CTQ262158:CTQ262163 DDM262158:DDM262163 DNI262158:DNI262163 DXE262158:DXE262163 EHA262158:EHA262163 EQW262158:EQW262163 FAS262158:FAS262163 FKO262158:FKO262163 FUK262158:FUK262163 GEG262158:GEG262163 GOC262158:GOC262163 GXY262158:GXY262163 HHU262158:HHU262163 HRQ262158:HRQ262163 IBM262158:IBM262163 ILI262158:ILI262163 IVE262158:IVE262163 JFA262158:JFA262163 JOW262158:JOW262163 JYS262158:JYS262163 KIO262158:KIO262163 KSK262158:KSK262163 LCG262158:LCG262163 LMC262158:LMC262163 LVY262158:LVY262163 MFU262158:MFU262163 MPQ262158:MPQ262163 MZM262158:MZM262163 NJI262158:NJI262163 NTE262158:NTE262163 ODA262158:ODA262163 OMW262158:OMW262163 OWS262158:OWS262163 PGO262158:PGO262163 PQK262158:PQK262163 QAG262158:QAG262163 QKC262158:QKC262163 QTY262158:QTY262163 RDU262158:RDU262163 RNQ262158:RNQ262163 RXM262158:RXM262163 SHI262158:SHI262163 SRE262158:SRE262163 TBA262158:TBA262163 TKW262158:TKW262163 TUS262158:TUS262163 UEO262158:UEO262163 UOK262158:UOK262163 UYG262158:UYG262163 VIC262158:VIC262163 VRY262158:VRY262163 WBU262158:WBU262163 WLQ262158:WLQ262163 WVM262158:WVM262163 E327694:E327699 JA327694:JA327699 SW327694:SW327699 ACS327694:ACS327699 AMO327694:AMO327699 AWK327694:AWK327699 BGG327694:BGG327699 BQC327694:BQC327699 BZY327694:BZY327699 CJU327694:CJU327699 CTQ327694:CTQ327699 DDM327694:DDM327699 DNI327694:DNI327699 DXE327694:DXE327699 EHA327694:EHA327699 EQW327694:EQW327699 FAS327694:FAS327699 FKO327694:FKO327699 FUK327694:FUK327699 GEG327694:GEG327699 GOC327694:GOC327699 GXY327694:GXY327699 HHU327694:HHU327699 HRQ327694:HRQ327699 IBM327694:IBM327699 ILI327694:ILI327699 IVE327694:IVE327699 JFA327694:JFA327699 JOW327694:JOW327699 JYS327694:JYS327699 KIO327694:KIO327699 KSK327694:KSK327699 LCG327694:LCG327699 LMC327694:LMC327699 LVY327694:LVY327699 MFU327694:MFU327699 MPQ327694:MPQ327699 MZM327694:MZM327699 NJI327694:NJI327699 NTE327694:NTE327699 ODA327694:ODA327699 OMW327694:OMW327699 OWS327694:OWS327699 PGO327694:PGO327699 PQK327694:PQK327699 QAG327694:QAG327699 QKC327694:QKC327699 QTY327694:QTY327699 RDU327694:RDU327699 RNQ327694:RNQ327699 RXM327694:RXM327699 SHI327694:SHI327699 SRE327694:SRE327699 TBA327694:TBA327699 TKW327694:TKW327699 TUS327694:TUS327699 UEO327694:UEO327699 UOK327694:UOK327699 UYG327694:UYG327699 VIC327694:VIC327699 VRY327694:VRY327699 WBU327694:WBU327699 WLQ327694:WLQ327699 WVM327694:WVM327699 E393230:E393235 JA393230:JA393235 SW393230:SW393235 ACS393230:ACS393235 AMO393230:AMO393235 AWK393230:AWK393235 BGG393230:BGG393235 BQC393230:BQC393235 BZY393230:BZY393235 CJU393230:CJU393235 CTQ393230:CTQ393235 DDM393230:DDM393235 DNI393230:DNI393235 DXE393230:DXE393235 EHA393230:EHA393235 EQW393230:EQW393235 FAS393230:FAS393235 FKO393230:FKO393235 FUK393230:FUK393235 GEG393230:GEG393235 GOC393230:GOC393235 GXY393230:GXY393235 HHU393230:HHU393235 HRQ393230:HRQ393235 IBM393230:IBM393235 ILI393230:ILI393235 IVE393230:IVE393235 JFA393230:JFA393235 JOW393230:JOW393235 JYS393230:JYS393235 KIO393230:KIO393235 KSK393230:KSK393235 LCG393230:LCG393235 LMC393230:LMC393235 LVY393230:LVY393235 MFU393230:MFU393235 MPQ393230:MPQ393235 MZM393230:MZM393235 NJI393230:NJI393235 NTE393230:NTE393235 ODA393230:ODA393235 OMW393230:OMW393235 OWS393230:OWS393235 PGO393230:PGO393235 PQK393230:PQK393235 QAG393230:QAG393235 QKC393230:QKC393235 QTY393230:QTY393235 RDU393230:RDU393235 RNQ393230:RNQ393235 RXM393230:RXM393235 SHI393230:SHI393235 SRE393230:SRE393235 TBA393230:TBA393235 TKW393230:TKW393235 TUS393230:TUS393235 UEO393230:UEO393235 UOK393230:UOK393235 UYG393230:UYG393235 VIC393230:VIC393235 VRY393230:VRY393235 WBU393230:WBU393235 WLQ393230:WLQ393235 WVM393230:WVM393235 E458766:E458771 JA458766:JA458771 SW458766:SW458771 ACS458766:ACS458771 AMO458766:AMO458771 AWK458766:AWK458771 BGG458766:BGG458771 BQC458766:BQC458771 BZY458766:BZY458771 CJU458766:CJU458771 CTQ458766:CTQ458771 DDM458766:DDM458771 DNI458766:DNI458771 DXE458766:DXE458771 EHA458766:EHA458771 EQW458766:EQW458771 FAS458766:FAS458771 FKO458766:FKO458771 FUK458766:FUK458771 GEG458766:GEG458771 GOC458766:GOC458771 GXY458766:GXY458771 HHU458766:HHU458771 HRQ458766:HRQ458771 IBM458766:IBM458771 ILI458766:ILI458771 IVE458766:IVE458771 JFA458766:JFA458771 JOW458766:JOW458771 JYS458766:JYS458771 KIO458766:KIO458771 KSK458766:KSK458771 LCG458766:LCG458771 LMC458766:LMC458771 LVY458766:LVY458771 MFU458766:MFU458771 MPQ458766:MPQ458771 MZM458766:MZM458771 NJI458766:NJI458771 NTE458766:NTE458771 ODA458766:ODA458771 OMW458766:OMW458771 OWS458766:OWS458771 PGO458766:PGO458771 PQK458766:PQK458771 QAG458766:QAG458771 QKC458766:QKC458771 QTY458766:QTY458771 RDU458766:RDU458771 RNQ458766:RNQ458771 RXM458766:RXM458771 SHI458766:SHI458771 SRE458766:SRE458771 TBA458766:TBA458771 TKW458766:TKW458771 TUS458766:TUS458771 UEO458766:UEO458771 UOK458766:UOK458771 UYG458766:UYG458771 VIC458766:VIC458771 VRY458766:VRY458771 WBU458766:WBU458771 WLQ458766:WLQ458771 WVM458766:WVM458771 E524302:E524307 JA524302:JA524307 SW524302:SW524307 ACS524302:ACS524307 AMO524302:AMO524307 AWK524302:AWK524307 BGG524302:BGG524307 BQC524302:BQC524307 BZY524302:BZY524307 CJU524302:CJU524307 CTQ524302:CTQ524307 DDM524302:DDM524307 DNI524302:DNI524307 DXE524302:DXE524307 EHA524302:EHA524307 EQW524302:EQW524307 FAS524302:FAS524307 FKO524302:FKO524307 FUK524302:FUK524307 GEG524302:GEG524307 GOC524302:GOC524307 GXY524302:GXY524307 HHU524302:HHU524307 HRQ524302:HRQ524307 IBM524302:IBM524307 ILI524302:ILI524307 IVE524302:IVE524307 JFA524302:JFA524307 JOW524302:JOW524307 JYS524302:JYS524307 KIO524302:KIO524307 KSK524302:KSK524307 LCG524302:LCG524307 LMC524302:LMC524307 LVY524302:LVY524307 MFU524302:MFU524307 MPQ524302:MPQ524307 MZM524302:MZM524307 NJI524302:NJI524307 NTE524302:NTE524307 ODA524302:ODA524307 OMW524302:OMW524307 OWS524302:OWS524307 PGO524302:PGO524307 PQK524302:PQK524307 QAG524302:QAG524307 QKC524302:QKC524307 QTY524302:QTY524307 RDU524302:RDU524307 RNQ524302:RNQ524307 RXM524302:RXM524307 SHI524302:SHI524307 SRE524302:SRE524307 TBA524302:TBA524307 TKW524302:TKW524307 TUS524302:TUS524307 UEO524302:UEO524307 UOK524302:UOK524307 UYG524302:UYG524307 VIC524302:VIC524307 VRY524302:VRY524307 WBU524302:WBU524307 WLQ524302:WLQ524307 WVM524302:WVM524307 E589838:E589843 JA589838:JA589843 SW589838:SW589843 ACS589838:ACS589843 AMO589838:AMO589843 AWK589838:AWK589843 BGG589838:BGG589843 BQC589838:BQC589843 BZY589838:BZY589843 CJU589838:CJU589843 CTQ589838:CTQ589843 DDM589838:DDM589843 DNI589838:DNI589843 DXE589838:DXE589843 EHA589838:EHA589843 EQW589838:EQW589843 FAS589838:FAS589843 FKO589838:FKO589843 FUK589838:FUK589843 GEG589838:GEG589843 GOC589838:GOC589843 GXY589838:GXY589843 HHU589838:HHU589843 HRQ589838:HRQ589843 IBM589838:IBM589843 ILI589838:ILI589843 IVE589838:IVE589843 JFA589838:JFA589843 JOW589838:JOW589843 JYS589838:JYS589843 KIO589838:KIO589843 KSK589838:KSK589843 LCG589838:LCG589843 LMC589838:LMC589843 LVY589838:LVY589843 MFU589838:MFU589843 MPQ589838:MPQ589843 MZM589838:MZM589843 NJI589838:NJI589843 NTE589838:NTE589843 ODA589838:ODA589843 OMW589838:OMW589843 OWS589838:OWS589843 PGO589838:PGO589843 PQK589838:PQK589843 QAG589838:QAG589843 QKC589838:QKC589843 QTY589838:QTY589843 RDU589838:RDU589843 RNQ589838:RNQ589843 RXM589838:RXM589843 SHI589838:SHI589843 SRE589838:SRE589843 TBA589838:TBA589843 TKW589838:TKW589843 TUS589838:TUS589843 UEO589838:UEO589843 UOK589838:UOK589843 UYG589838:UYG589843 VIC589838:VIC589843 VRY589838:VRY589843 WBU589838:WBU589843 WLQ589838:WLQ589843 WVM589838:WVM589843 E655374:E655379 JA655374:JA655379 SW655374:SW655379 ACS655374:ACS655379 AMO655374:AMO655379 AWK655374:AWK655379 BGG655374:BGG655379 BQC655374:BQC655379 BZY655374:BZY655379 CJU655374:CJU655379 CTQ655374:CTQ655379 DDM655374:DDM655379 DNI655374:DNI655379 DXE655374:DXE655379 EHA655374:EHA655379 EQW655374:EQW655379 FAS655374:FAS655379 FKO655374:FKO655379 FUK655374:FUK655379 GEG655374:GEG655379 GOC655374:GOC655379 GXY655374:GXY655379 HHU655374:HHU655379 HRQ655374:HRQ655379 IBM655374:IBM655379 ILI655374:ILI655379 IVE655374:IVE655379 JFA655374:JFA655379 JOW655374:JOW655379 JYS655374:JYS655379 KIO655374:KIO655379 KSK655374:KSK655379 LCG655374:LCG655379 LMC655374:LMC655379 LVY655374:LVY655379 MFU655374:MFU655379 MPQ655374:MPQ655379 MZM655374:MZM655379 NJI655374:NJI655379 NTE655374:NTE655379 ODA655374:ODA655379 OMW655374:OMW655379 OWS655374:OWS655379 PGO655374:PGO655379 PQK655374:PQK655379 QAG655374:QAG655379 QKC655374:QKC655379 QTY655374:QTY655379 RDU655374:RDU655379 RNQ655374:RNQ655379 RXM655374:RXM655379 SHI655374:SHI655379 SRE655374:SRE655379 TBA655374:TBA655379 TKW655374:TKW655379 TUS655374:TUS655379 UEO655374:UEO655379 UOK655374:UOK655379 UYG655374:UYG655379 VIC655374:VIC655379 VRY655374:VRY655379 WBU655374:WBU655379 WLQ655374:WLQ655379 WVM655374:WVM655379 E720910:E720915 JA720910:JA720915 SW720910:SW720915 ACS720910:ACS720915 AMO720910:AMO720915 AWK720910:AWK720915 BGG720910:BGG720915 BQC720910:BQC720915 BZY720910:BZY720915 CJU720910:CJU720915 CTQ720910:CTQ720915 DDM720910:DDM720915 DNI720910:DNI720915 DXE720910:DXE720915 EHA720910:EHA720915 EQW720910:EQW720915 FAS720910:FAS720915 FKO720910:FKO720915 FUK720910:FUK720915 GEG720910:GEG720915 GOC720910:GOC720915 GXY720910:GXY720915 HHU720910:HHU720915 HRQ720910:HRQ720915 IBM720910:IBM720915 ILI720910:ILI720915 IVE720910:IVE720915 JFA720910:JFA720915 JOW720910:JOW720915 JYS720910:JYS720915 KIO720910:KIO720915 KSK720910:KSK720915 LCG720910:LCG720915 LMC720910:LMC720915 LVY720910:LVY720915 MFU720910:MFU720915 MPQ720910:MPQ720915 MZM720910:MZM720915 NJI720910:NJI720915 NTE720910:NTE720915 ODA720910:ODA720915 OMW720910:OMW720915 OWS720910:OWS720915 PGO720910:PGO720915 PQK720910:PQK720915 QAG720910:QAG720915 QKC720910:QKC720915 QTY720910:QTY720915 RDU720910:RDU720915 RNQ720910:RNQ720915 RXM720910:RXM720915 SHI720910:SHI720915 SRE720910:SRE720915 TBA720910:TBA720915 TKW720910:TKW720915 TUS720910:TUS720915 UEO720910:UEO720915 UOK720910:UOK720915 UYG720910:UYG720915 VIC720910:VIC720915 VRY720910:VRY720915 WBU720910:WBU720915 WLQ720910:WLQ720915 WVM720910:WVM720915 E786446:E786451 JA786446:JA786451 SW786446:SW786451 ACS786446:ACS786451 AMO786446:AMO786451 AWK786446:AWK786451 BGG786446:BGG786451 BQC786446:BQC786451 BZY786446:BZY786451 CJU786446:CJU786451 CTQ786446:CTQ786451 DDM786446:DDM786451 DNI786446:DNI786451 DXE786446:DXE786451 EHA786446:EHA786451 EQW786446:EQW786451 FAS786446:FAS786451 FKO786446:FKO786451 FUK786446:FUK786451 GEG786446:GEG786451 GOC786446:GOC786451 GXY786446:GXY786451 HHU786446:HHU786451 HRQ786446:HRQ786451 IBM786446:IBM786451 ILI786446:ILI786451 IVE786446:IVE786451 JFA786446:JFA786451 JOW786446:JOW786451 JYS786446:JYS786451 KIO786446:KIO786451 KSK786446:KSK786451 LCG786446:LCG786451 LMC786446:LMC786451 LVY786446:LVY786451 MFU786446:MFU786451 MPQ786446:MPQ786451 MZM786446:MZM786451 NJI786446:NJI786451 NTE786446:NTE786451 ODA786446:ODA786451 OMW786446:OMW786451 OWS786446:OWS786451 PGO786446:PGO786451 PQK786446:PQK786451 QAG786446:QAG786451 QKC786446:QKC786451 QTY786446:QTY786451 RDU786446:RDU786451 RNQ786446:RNQ786451 RXM786446:RXM786451 SHI786446:SHI786451 SRE786446:SRE786451 TBA786446:TBA786451 TKW786446:TKW786451 TUS786446:TUS786451 UEO786446:UEO786451 UOK786446:UOK786451 UYG786446:UYG786451 VIC786446:VIC786451 VRY786446:VRY786451 WBU786446:WBU786451 WLQ786446:WLQ786451 WVM786446:WVM786451 E851982:E851987 JA851982:JA851987 SW851982:SW851987 ACS851982:ACS851987 AMO851982:AMO851987 AWK851982:AWK851987 BGG851982:BGG851987 BQC851982:BQC851987 BZY851982:BZY851987 CJU851982:CJU851987 CTQ851982:CTQ851987 DDM851982:DDM851987 DNI851982:DNI851987 DXE851982:DXE851987 EHA851982:EHA851987 EQW851982:EQW851987 FAS851982:FAS851987 FKO851982:FKO851987 FUK851982:FUK851987 GEG851982:GEG851987 GOC851982:GOC851987 GXY851982:GXY851987 HHU851982:HHU851987 HRQ851982:HRQ851987 IBM851982:IBM851987 ILI851982:ILI851987 IVE851982:IVE851987 JFA851982:JFA851987 JOW851982:JOW851987 JYS851982:JYS851987 KIO851982:KIO851987 KSK851982:KSK851987 LCG851982:LCG851987 LMC851982:LMC851987 LVY851982:LVY851987 MFU851982:MFU851987 MPQ851982:MPQ851987 MZM851982:MZM851987 NJI851982:NJI851987 NTE851982:NTE851987 ODA851982:ODA851987 OMW851982:OMW851987 OWS851982:OWS851987 PGO851982:PGO851987 PQK851982:PQK851987 QAG851982:QAG851987 QKC851982:QKC851987 QTY851982:QTY851987 RDU851982:RDU851987 RNQ851982:RNQ851987 RXM851982:RXM851987 SHI851982:SHI851987 SRE851982:SRE851987 TBA851982:TBA851987 TKW851982:TKW851987 TUS851982:TUS851987 UEO851982:UEO851987 UOK851982:UOK851987 UYG851982:UYG851987 VIC851982:VIC851987 VRY851982:VRY851987 WBU851982:WBU851987 WLQ851982:WLQ851987 WVM851982:WVM851987 E917518:E917523 JA917518:JA917523 SW917518:SW917523 ACS917518:ACS917523 AMO917518:AMO917523 AWK917518:AWK917523 BGG917518:BGG917523 BQC917518:BQC917523 BZY917518:BZY917523 CJU917518:CJU917523 CTQ917518:CTQ917523 DDM917518:DDM917523 DNI917518:DNI917523 DXE917518:DXE917523 EHA917518:EHA917523 EQW917518:EQW917523 FAS917518:FAS917523 FKO917518:FKO917523 FUK917518:FUK917523 GEG917518:GEG917523 GOC917518:GOC917523 GXY917518:GXY917523 HHU917518:HHU917523 HRQ917518:HRQ917523 IBM917518:IBM917523 ILI917518:ILI917523 IVE917518:IVE917523 JFA917518:JFA917523 JOW917518:JOW917523 JYS917518:JYS917523 KIO917518:KIO917523 KSK917518:KSK917523 LCG917518:LCG917523 LMC917518:LMC917523 LVY917518:LVY917523 MFU917518:MFU917523 MPQ917518:MPQ917523 MZM917518:MZM917523 NJI917518:NJI917523 NTE917518:NTE917523 ODA917518:ODA917523 OMW917518:OMW917523 OWS917518:OWS917523 PGO917518:PGO917523 PQK917518:PQK917523 QAG917518:QAG917523 QKC917518:QKC917523 QTY917518:QTY917523 RDU917518:RDU917523 RNQ917518:RNQ917523 RXM917518:RXM917523 SHI917518:SHI917523 SRE917518:SRE917523 TBA917518:TBA917523 TKW917518:TKW917523 TUS917518:TUS917523 UEO917518:UEO917523 UOK917518:UOK917523 UYG917518:UYG917523 VIC917518:VIC917523 VRY917518:VRY917523 WBU917518:WBU917523 WLQ917518:WLQ917523 WVM917518:WVM917523 E983054:E983059 JA983054:JA983059 SW983054:SW983059 ACS983054:ACS983059 AMO983054:AMO983059 AWK983054:AWK983059 BGG983054:BGG983059 BQC983054:BQC983059 BZY983054:BZY983059 CJU983054:CJU983059 CTQ983054:CTQ983059 DDM983054:DDM983059 DNI983054:DNI983059 DXE983054:DXE983059 EHA983054:EHA983059 EQW983054:EQW983059 FAS983054:FAS983059 FKO983054:FKO983059 FUK983054:FUK983059 GEG983054:GEG983059 GOC983054:GOC983059 GXY983054:GXY983059 HHU983054:HHU983059 HRQ983054:HRQ983059 IBM983054:IBM983059 ILI983054:ILI983059 IVE983054:IVE983059 JFA983054:JFA983059 JOW983054:JOW983059 JYS983054:JYS983059 KIO983054:KIO983059 KSK983054:KSK983059 LCG983054:LCG983059 LMC983054:LMC983059 LVY983054:LVY983059 MFU983054:MFU983059 MPQ983054:MPQ983059 MZM983054:MZM983059 NJI983054:NJI983059 NTE983054:NTE983059 ODA983054:ODA983059 OMW983054:OMW983059 OWS983054:OWS983059 PGO983054:PGO983059 PQK983054:PQK983059 QAG983054:QAG983059 QKC983054:QKC983059 QTY983054:QTY983059 RDU983054:RDU983059 RNQ983054:RNQ983059 RXM983054:RXM983059 SHI983054:SHI983059 SRE983054:SRE983059 TBA983054:TBA983059 TKW983054:TKW983059 TUS983054:TUS983059 UEO983054:UEO983059 UOK983054:UOK983059 UYG983054:UYG983059 VIC983054:VIC983059 VRY983054:VRY983059 WBU983054:WBU983059 WLQ983054:WLQ983059 WVM983054:WVM983059"/>
  </dataValidations>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workbookViewId="0">
      <selection activeCell="D42" sqref="D42"/>
    </sheetView>
  </sheetViews>
  <sheetFormatPr defaultRowHeight="12.75"/>
  <cols>
    <col min="7" max="7" width="29" customWidth="1"/>
    <col min="8" max="8" width="12.7109375" style="311" customWidth="1"/>
    <col min="9" max="9" width="12.7109375" customWidth="1"/>
  </cols>
  <sheetData>
    <row r="1" spans="1:9" ht="15" customHeight="1">
      <c r="A1" s="811" t="s">
        <v>404</v>
      </c>
      <c r="B1" s="812"/>
      <c r="C1" s="812"/>
      <c r="D1" s="812"/>
      <c r="E1" s="812"/>
      <c r="F1" s="812"/>
      <c r="G1" s="812"/>
      <c r="H1" s="812"/>
      <c r="I1" s="813"/>
    </row>
    <row r="2" spans="1:9" ht="15" customHeight="1">
      <c r="A2" s="814"/>
      <c r="B2" s="815"/>
      <c r="C2" s="815"/>
      <c r="D2" s="815"/>
      <c r="E2" s="815"/>
      <c r="F2" s="815"/>
      <c r="G2" s="815"/>
      <c r="H2" s="815"/>
      <c r="I2" s="816"/>
    </row>
    <row r="3" spans="1:9" ht="15" customHeight="1">
      <c r="A3" s="817" t="s">
        <v>82</v>
      </c>
      <c r="B3" s="818"/>
      <c r="C3" s="818"/>
      <c r="D3" s="818"/>
      <c r="E3" s="818"/>
      <c r="F3" s="818"/>
      <c r="G3" s="818"/>
      <c r="H3" s="818"/>
      <c r="I3" s="819"/>
    </row>
    <row r="4" spans="1:9" s="311" customFormat="1" ht="15" customHeight="1">
      <c r="A4" s="528"/>
      <c r="B4" s="529"/>
      <c r="C4" s="529"/>
      <c r="D4" s="529"/>
      <c r="E4" s="529"/>
      <c r="F4" s="529"/>
      <c r="G4" s="529"/>
      <c r="H4" s="684"/>
      <c r="I4" s="685"/>
    </row>
    <row r="5" spans="1:9" ht="15" customHeight="1" thickBot="1">
      <c r="A5" s="376" t="str">
        <f>ORÇAMENTO!C5</f>
        <v>Estrada Passo Salseiro</v>
      </c>
      <c r="B5" s="377"/>
      <c r="C5" s="378"/>
      <c r="D5" s="379"/>
      <c r="E5" s="379"/>
      <c r="F5" s="379"/>
      <c r="G5" s="380"/>
      <c r="H5" s="749" t="s">
        <v>218</v>
      </c>
      <c r="I5" s="750" t="s">
        <v>588</v>
      </c>
    </row>
    <row r="6" spans="1:9" ht="24.95" customHeight="1">
      <c r="A6" s="820" t="s">
        <v>119</v>
      </c>
      <c r="B6" s="822" t="s">
        <v>83</v>
      </c>
      <c r="C6" s="823"/>
      <c r="D6" s="823"/>
      <c r="E6" s="823"/>
      <c r="F6" s="823"/>
      <c r="G6" s="824"/>
      <c r="H6" s="828" t="s">
        <v>57</v>
      </c>
      <c r="I6" s="828" t="s">
        <v>572</v>
      </c>
    </row>
    <row r="7" spans="1:9" ht="24.95" customHeight="1" thickBot="1">
      <c r="A7" s="821"/>
      <c r="B7" s="825"/>
      <c r="C7" s="826"/>
      <c r="D7" s="826"/>
      <c r="E7" s="826"/>
      <c r="F7" s="826"/>
      <c r="G7" s="827"/>
      <c r="H7" s="829"/>
      <c r="I7" s="829"/>
    </row>
    <row r="8" spans="1:9" ht="24.95" customHeight="1" thickBot="1">
      <c r="A8" s="104" t="s">
        <v>75</v>
      </c>
      <c r="B8" s="105"/>
      <c r="C8" s="105" t="s">
        <v>562</v>
      </c>
      <c r="D8" s="105"/>
      <c r="E8" s="105"/>
      <c r="F8" s="105"/>
      <c r="G8" s="106"/>
      <c r="H8" s="106"/>
      <c r="I8" s="690"/>
    </row>
    <row r="9" spans="1:9" ht="24.95" customHeight="1" thickBot="1">
      <c r="A9" s="798" t="s">
        <v>50</v>
      </c>
      <c r="B9" s="799"/>
      <c r="C9" s="799"/>
      <c r="D9" s="799"/>
      <c r="E9" s="799"/>
      <c r="F9" s="799"/>
      <c r="G9" s="800"/>
      <c r="H9" s="102">
        <f>ORÇAMENTO!O34</f>
        <v>157551.38999999998</v>
      </c>
      <c r="I9" s="695">
        <f>H9/$H$18</f>
        <v>0.10485901541907103</v>
      </c>
    </row>
    <row r="10" spans="1:9" ht="24.95" customHeight="1" thickBot="1">
      <c r="A10" s="107" t="s">
        <v>76</v>
      </c>
      <c r="B10" s="108"/>
      <c r="C10" s="108" t="s">
        <v>49</v>
      </c>
      <c r="D10" s="108"/>
      <c r="E10" s="108"/>
      <c r="F10" s="108"/>
      <c r="G10" s="109"/>
      <c r="H10" s="109"/>
      <c r="I10" s="690"/>
    </row>
    <row r="11" spans="1:9" ht="24.95" customHeight="1" thickBot="1">
      <c r="A11" s="801" t="s">
        <v>208</v>
      </c>
      <c r="B11" s="802"/>
      <c r="C11" s="802"/>
      <c r="D11" s="802"/>
      <c r="E11" s="802"/>
      <c r="F11" s="802"/>
      <c r="G11" s="803"/>
      <c r="H11" s="102">
        <f>ORÇAMENTO!O48</f>
        <v>1101042.8199999998</v>
      </c>
      <c r="I11" s="695">
        <f>H11/$H$18</f>
        <v>0.73280385555111538</v>
      </c>
    </row>
    <row r="12" spans="1:9" ht="24.95" customHeight="1" thickBot="1">
      <c r="A12" s="104" t="s">
        <v>78</v>
      </c>
      <c r="B12" s="105"/>
      <c r="C12" s="105" t="s">
        <v>38</v>
      </c>
      <c r="D12" s="105"/>
      <c r="E12" s="105"/>
      <c r="F12" s="105"/>
      <c r="G12" s="106"/>
      <c r="H12" s="691"/>
      <c r="I12" s="692"/>
    </row>
    <row r="13" spans="1:9" ht="24.95" customHeight="1" thickBot="1">
      <c r="A13" s="798" t="s">
        <v>84</v>
      </c>
      <c r="B13" s="799"/>
      <c r="C13" s="799"/>
      <c r="D13" s="799"/>
      <c r="E13" s="799"/>
      <c r="F13" s="799"/>
      <c r="G13" s="800"/>
      <c r="H13" s="102">
        <f>ORÇAMENTO!O66</f>
        <v>171636.73</v>
      </c>
      <c r="I13" s="695">
        <f>H13/$H$18</f>
        <v>0.11423357494687247</v>
      </c>
    </row>
    <row r="14" spans="1:9" ht="24.95" customHeight="1" thickBot="1">
      <c r="A14" s="103" t="s">
        <v>80</v>
      </c>
      <c r="B14" s="100"/>
      <c r="C14" s="100" t="s">
        <v>12</v>
      </c>
      <c r="D14" s="100"/>
      <c r="E14" s="100"/>
      <c r="F14" s="100"/>
      <c r="G14" s="101"/>
      <c r="H14" s="693"/>
      <c r="I14" s="694"/>
    </row>
    <row r="15" spans="1:9" ht="24.95" customHeight="1" thickBot="1">
      <c r="A15" s="804" t="s">
        <v>563</v>
      </c>
      <c r="B15" s="805"/>
      <c r="C15" s="805"/>
      <c r="D15" s="805"/>
      <c r="E15" s="805"/>
      <c r="F15" s="805"/>
      <c r="G15" s="806"/>
      <c r="H15" s="102">
        <f>ORÇAMENTO!O72</f>
        <v>24600.560000000001</v>
      </c>
      <c r="I15" s="695">
        <f>H15/$H$18</f>
        <v>1.6373010103927249E-2</v>
      </c>
    </row>
    <row r="16" spans="1:9" ht="24.95" customHeight="1" thickBot="1">
      <c r="A16" s="103" t="s">
        <v>81</v>
      </c>
      <c r="B16" s="100"/>
      <c r="C16" s="100" t="s">
        <v>214</v>
      </c>
      <c r="D16" s="100"/>
      <c r="E16" s="100"/>
      <c r="F16" s="100"/>
      <c r="G16" s="101"/>
      <c r="H16" s="693"/>
      <c r="I16" s="694"/>
    </row>
    <row r="17" spans="1:9" ht="24.95" customHeight="1" thickBot="1">
      <c r="A17" s="807" t="s">
        <v>209</v>
      </c>
      <c r="B17" s="808"/>
      <c r="C17" s="809"/>
      <c r="D17" s="808"/>
      <c r="E17" s="808"/>
      <c r="F17" s="808"/>
      <c r="G17" s="810"/>
      <c r="H17" s="102">
        <f>ORÇAMENTO!O85</f>
        <v>47675.360000000001</v>
      </c>
      <c r="I17" s="695">
        <f>H17/$H$18</f>
        <v>3.1730543979013849E-2</v>
      </c>
    </row>
    <row r="18" spans="1:9" ht="24.95" customHeight="1" thickBot="1">
      <c r="A18" s="795" t="s">
        <v>0</v>
      </c>
      <c r="B18" s="796"/>
      <c r="C18" s="796"/>
      <c r="D18" s="796"/>
      <c r="E18" s="796"/>
      <c r="F18" s="796"/>
      <c r="G18" s="797"/>
      <c r="H18" s="558">
        <f>SUM(H9:H17)</f>
        <v>1502506.8599999999</v>
      </c>
      <c r="I18" s="696">
        <f>SUM(I9:I17)</f>
        <v>1</v>
      </c>
    </row>
  </sheetData>
  <mergeCells count="12">
    <mergeCell ref="A1:I2"/>
    <mergeCell ref="A3:I3"/>
    <mergeCell ref="A6:A7"/>
    <mergeCell ref="B6:G7"/>
    <mergeCell ref="I6:I7"/>
    <mergeCell ref="H6:H7"/>
    <mergeCell ref="A18:G18"/>
    <mergeCell ref="A9:G9"/>
    <mergeCell ref="A11:G11"/>
    <mergeCell ref="A13:G13"/>
    <mergeCell ref="A15:G15"/>
    <mergeCell ref="A17:G17"/>
  </mergeCells>
  <printOptions horizontalCentered="1"/>
  <pageMargins left="1.1811023622047245" right="0.98425196850393704" top="1.1811023622047245" bottom="1.1811023622047245" header="0.31496062992125984" footer="0.31496062992125984"/>
  <pageSetup paperSize="9" scale="71" orientation="portrait" horizontalDpi="1200" verticalDpi="1200" r:id="rId1"/>
</worksheet>
</file>

<file path=xl/worksheets/sheet3.xml><?xml version="1.0" encoding="utf-8"?>
<worksheet xmlns="http://schemas.openxmlformats.org/spreadsheetml/2006/main" xmlns:r="http://schemas.openxmlformats.org/officeDocument/2006/relationships">
  <sheetPr>
    <pageSetUpPr fitToPage="1"/>
  </sheetPr>
  <dimension ref="A1:V95"/>
  <sheetViews>
    <sheetView zoomScale="90" zoomScaleNormal="90" workbookViewId="0">
      <pane ySplit="3105" topLeftCell="A61" activePane="bottomLeft"/>
      <selection activeCell="D42" sqref="D42"/>
      <selection pane="bottomLeft" activeCell="D42" sqref="D42"/>
    </sheetView>
  </sheetViews>
  <sheetFormatPr defaultRowHeight="12.75"/>
  <cols>
    <col min="1" max="1" width="9" style="2" customWidth="1"/>
    <col min="2" max="2" width="18.42578125" style="2" bestFit="1" customWidth="1"/>
    <col min="3" max="3" width="70.7109375" style="1" customWidth="1"/>
    <col min="4" max="4" width="5.7109375" style="1" customWidth="1"/>
    <col min="5" max="5" width="6.140625" style="141" bestFit="1" customWidth="1"/>
    <col min="6" max="6" width="4" style="1" bestFit="1" customWidth="1"/>
    <col min="7" max="7" width="7.5703125" style="1" bestFit="1" customWidth="1"/>
    <col min="8" max="12" width="15.7109375" style="1" customWidth="1"/>
    <col min="13" max="13" width="17.85546875" style="1" customWidth="1"/>
    <col min="14" max="14" width="19.5703125" style="1" customWidth="1"/>
    <col min="15" max="15" width="19" style="1" customWidth="1"/>
    <col min="16" max="16" width="3.85546875" style="1" customWidth="1"/>
    <col min="17" max="18" width="9.140625" style="75" customWidth="1"/>
    <col min="19" max="19" width="9.42578125" style="75" customWidth="1"/>
    <col min="20" max="24" width="9.140625" style="1" customWidth="1"/>
    <col min="25" max="16384" width="9.140625" style="1"/>
  </cols>
  <sheetData>
    <row r="1" spans="1:22" ht="15" customHeight="1">
      <c r="A1" s="841" t="s">
        <v>405</v>
      </c>
      <c r="B1" s="842"/>
      <c r="C1" s="842"/>
      <c r="D1" s="842"/>
      <c r="E1" s="842"/>
      <c r="F1" s="842"/>
      <c r="G1" s="842"/>
      <c r="H1" s="842"/>
      <c r="I1" s="842"/>
      <c r="J1" s="842"/>
      <c r="K1" s="842"/>
      <c r="L1" s="842"/>
      <c r="M1" s="842"/>
      <c r="N1" s="842"/>
      <c r="O1" s="843"/>
      <c r="R1" s="328"/>
      <c r="S1" s="328"/>
      <c r="T1" s="328"/>
      <c r="U1" s="328"/>
      <c r="V1" s="328"/>
    </row>
    <row r="2" spans="1:22" ht="15" customHeight="1">
      <c r="A2" s="844"/>
      <c r="B2" s="845"/>
      <c r="C2" s="845"/>
      <c r="D2" s="845"/>
      <c r="E2" s="845"/>
      <c r="F2" s="845"/>
      <c r="G2" s="845"/>
      <c r="H2" s="845"/>
      <c r="I2" s="845"/>
      <c r="J2" s="845"/>
      <c r="K2" s="845"/>
      <c r="L2" s="845"/>
      <c r="M2" s="845"/>
      <c r="N2" s="845"/>
      <c r="O2" s="846"/>
      <c r="R2" s="328" t="s">
        <v>387</v>
      </c>
      <c r="S2" s="328"/>
      <c r="T2" s="328"/>
      <c r="U2" s="328"/>
      <c r="V2" s="328"/>
    </row>
    <row r="3" spans="1:22" ht="15" customHeight="1">
      <c r="A3" s="844"/>
      <c r="B3" s="845"/>
      <c r="C3" s="845"/>
      <c r="D3" s="845"/>
      <c r="E3" s="845"/>
      <c r="F3" s="845"/>
      <c r="G3" s="845"/>
      <c r="H3" s="845"/>
      <c r="I3" s="845"/>
      <c r="J3" s="845"/>
      <c r="K3" s="845"/>
      <c r="L3" s="845"/>
      <c r="M3" s="845"/>
      <c r="N3" s="845"/>
      <c r="O3" s="846"/>
      <c r="R3" s="305" t="s">
        <v>388</v>
      </c>
      <c r="S3" s="304">
        <v>13.1</v>
      </c>
      <c r="T3" s="328"/>
      <c r="U3" s="328"/>
      <c r="V3" s="328"/>
    </row>
    <row r="4" spans="1:22" ht="15" customHeight="1" thickBot="1">
      <c r="A4" s="847"/>
      <c r="B4" s="848"/>
      <c r="C4" s="848"/>
      <c r="D4" s="848"/>
      <c r="E4" s="848"/>
      <c r="F4" s="848"/>
      <c r="G4" s="848"/>
      <c r="H4" s="848"/>
      <c r="I4" s="848"/>
      <c r="J4" s="848"/>
      <c r="K4" s="848"/>
      <c r="L4" s="848"/>
      <c r="M4" s="848"/>
      <c r="N4" s="848"/>
      <c r="O4" s="849"/>
      <c r="R4" s="305" t="s">
        <v>389</v>
      </c>
      <c r="S4" s="110">
        <v>46.6</v>
      </c>
      <c r="T4" s="328"/>
      <c r="U4" s="328"/>
      <c r="V4" s="328"/>
    </row>
    <row r="5" spans="1:22" s="33" customFormat="1" ht="15" customHeight="1">
      <c r="A5" s="381" t="s">
        <v>66</v>
      </c>
      <c r="B5" s="382"/>
      <c r="C5" s="377" t="s">
        <v>571</v>
      </c>
      <c r="D5" s="377"/>
      <c r="E5" s="383"/>
      <c r="F5" s="377"/>
      <c r="G5" s="384"/>
      <c r="H5" s="384"/>
      <c r="I5" s="384"/>
      <c r="J5" s="384"/>
      <c r="K5" s="384"/>
      <c r="L5" s="385"/>
      <c r="M5" s="384"/>
      <c r="N5" s="386" t="s">
        <v>218</v>
      </c>
      <c r="O5" s="387" t="s">
        <v>588</v>
      </c>
      <c r="R5" s="372"/>
      <c r="S5" s="306"/>
      <c r="T5" s="372"/>
      <c r="U5" s="372"/>
      <c r="V5" s="372"/>
    </row>
    <row r="6" spans="1:22" s="33" customFormat="1" ht="15" customHeight="1">
      <c r="A6" s="381" t="s">
        <v>65</v>
      </c>
      <c r="B6" s="382"/>
      <c r="C6" s="377" t="s">
        <v>468</v>
      </c>
      <c r="D6" s="377"/>
      <c r="E6" s="383"/>
      <c r="F6" s="377"/>
      <c r="G6" s="385"/>
      <c r="H6" s="385"/>
      <c r="I6" s="385"/>
      <c r="J6" s="385"/>
      <c r="K6" s="385"/>
      <c r="L6" s="385"/>
      <c r="M6" s="385"/>
      <c r="N6" s="377" t="s">
        <v>219</v>
      </c>
      <c r="O6" s="388" t="s">
        <v>589</v>
      </c>
      <c r="Q6" s="111"/>
      <c r="R6" s="372"/>
      <c r="S6" s="306"/>
      <c r="T6" s="372"/>
      <c r="U6" s="372"/>
      <c r="V6" s="372"/>
    </row>
    <row r="7" spans="1:22" s="33" customFormat="1" ht="15" customHeight="1">
      <c r="A7" s="381" t="s">
        <v>64</v>
      </c>
      <c r="B7" s="382"/>
      <c r="C7" s="378">
        <v>900</v>
      </c>
      <c r="D7" s="379"/>
      <c r="E7" s="383"/>
      <c r="F7" s="379"/>
      <c r="G7" s="385"/>
      <c r="H7" s="385"/>
      <c r="I7" s="389"/>
      <c r="J7" s="389"/>
      <c r="K7" s="389"/>
      <c r="L7" s="385"/>
      <c r="M7" s="389"/>
      <c r="N7" s="386" t="s">
        <v>118</v>
      </c>
      <c r="O7" s="390">
        <v>0.24030000000000001</v>
      </c>
      <c r="Q7" s="76"/>
      <c r="R7" s="372"/>
      <c r="S7" s="306"/>
      <c r="T7" s="372"/>
      <c r="U7" s="372"/>
      <c r="V7" s="372"/>
    </row>
    <row r="8" spans="1:22" s="33" customFormat="1" ht="15" customHeight="1" thickBot="1">
      <c r="A8" s="381" t="s">
        <v>63</v>
      </c>
      <c r="B8" s="382"/>
      <c r="C8" s="379">
        <v>8</v>
      </c>
      <c r="D8" s="379" t="s">
        <v>8</v>
      </c>
      <c r="E8" s="383"/>
      <c r="F8" s="379"/>
      <c r="G8" s="385"/>
      <c r="H8" s="385"/>
      <c r="I8" s="378"/>
      <c r="J8" s="378" t="s">
        <v>8</v>
      </c>
      <c r="K8" s="378"/>
      <c r="L8" s="385"/>
      <c r="M8" s="378" t="s">
        <v>8</v>
      </c>
      <c r="N8" s="386"/>
      <c r="O8" s="391"/>
      <c r="Q8" s="76"/>
      <c r="R8" s="372"/>
      <c r="S8" s="372"/>
      <c r="T8" s="372"/>
      <c r="U8" s="372"/>
      <c r="V8" s="372"/>
    </row>
    <row r="9" spans="1:22" ht="15" customHeight="1" thickBot="1">
      <c r="A9" s="820" t="s">
        <v>62</v>
      </c>
      <c r="B9" s="850" t="s">
        <v>61</v>
      </c>
      <c r="C9" s="852" t="s">
        <v>60</v>
      </c>
      <c r="D9" s="853"/>
      <c r="E9" s="853"/>
      <c r="F9" s="854"/>
      <c r="G9" s="858" t="s">
        <v>6</v>
      </c>
      <c r="H9" s="860" t="s">
        <v>59</v>
      </c>
      <c r="I9" s="839" t="s">
        <v>100</v>
      </c>
      <c r="J9" s="839" t="s">
        <v>101</v>
      </c>
      <c r="K9" s="835" t="s">
        <v>58</v>
      </c>
      <c r="L9" s="836"/>
      <c r="M9" s="835" t="s">
        <v>104</v>
      </c>
      <c r="N9" s="836"/>
      <c r="O9" s="828" t="s">
        <v>57</v>
      </c>
      <c r="R9" s="328"/>
      <c r="S9" s="328"/>
      <c r="T9" s="328"/>
      <c r="U9" s="328"/>
      <c r="V9" s="328"/>
    </row>
    <row r="10" spans="1:22" ht="24" customHeight="1" thickBot="1">
      <c r="A10" s="821"/>
      <c r="B10" s="851"/>
      <c r="C10" s="855"/>
      <c r="D10" s="856"/>
      <c r="E10" s="856"/>
      <c r="F10" s="857"/>
      <c r="G10" s="859"/>
      <c r="H10" s="861"/>
      <c r="I10" s="840"/>
      <c r="J10" s="840"/>
      <c r="K10" s="392" t="s">
        <v>102</v>
      </c>
      <c r="L10" s="393" t="s">
        <v>103</v>
      </c>
      <c r="M10" s="392" t="s">
        <v>102</v>
      </c>
      <c r="N10" s="393" t="s">
        <v>103</v>
      </c>
      <c r="O10" s="829"/>
      <c r="R10" s="328"/>
      <c r="S10" s="328"/>
      <c r="T10" s="328"/>
      <c r="U10" s="328"/>
      <c r="V10" s="328"/>
    </row>
    <row r="11" spans="1:22" ht="15" customHeight="1" thickBot="1">
      <c r="A11" s="21" t="s">
        <v>75</v>
      </c>
      <c r="B11" s="20"/>
      <c r="C11" s="19" t="s">
        <v>419</v>
      </c>
      <c r="D11" s="19"/>
      <c r="E11" s="129"/>
      <c r="F11" s="19"/>
      <c r="G11" s="18"/>
      <c r="H11" s="18"/>
      <c r="I11" s="18"/>
      <c r="J11" s="18"/>
      <c r="K11" s="18"/>
      <c r="L11" s="18"/>
      <c r="M11" s="18"/>
      <c r="N11" s="18"/>
      <c r="O11" s="16"/>
    </row>
    <row r="12" spans="1:22" ht="15" customHeight="1">
      <c r="A12" s="37" t="s">
        <v>54</v>
      </c>
      <c r="B12" s="37" t="s">
        <v>8</v>
      </c>
      <c r="C12" s="38" t="s">
        <v>85</v>
      </c>
      <c r="D12" s="98"/>
      <c r="E12" s="130"/>
      <c r="F12" s="32"/>
      <c r="G12" s="31"/>
      <c r="H12" s="115"/>
      <c r="I12" s="30"/>
      <c r="J12" s="30"/>
      <c r="K12" s="30"/>
      <c r="L12" s="30"/>
      <c r="M12" s="30"/>
      <c r="N12" s="30"/>
      <c r="O12" s="29"/>
    </row>
    <row r="13" spans="1:22" ht="15" customHeight="1">
      <c r="A13" s="327" t="s">
        <v>86</v>
      </c>
      <c r="B13" s="327" t="s">
        <v>123</v>
      </c>
      <c r="C13" s="310" t="s">
        <v>5</v>
      </c>
      <c r="D13" s="127"/>
      <c r="E13" s="131"/>
      <c r="F13" s="370"/>
      <c r="G13" s="327" t="s">
        <v>90</v>
      </c>
      <c r="H13" s="309">
        <f>MEMÓRIA!H9</f>
        <v>2.88</v>
      </c>
      <c r="I13" s="316">
        <v>236.93</v>
      </c>
      <c r="J13" s="316">
        <f>ROUND(I13*(1+$O$7),2)</f>
        <v>293.86</v>
      </c>
      <c r="K13" s="316">
        <f>ROUND(J13*0.8,2)</f>
        <v>235.09</v>
      </c>
      <c r="L13" s="316">
        <f>J13-K13</f>
        <v>58.77000000000001</v>
      </c>
      <c r="M13" s="316">
        <f>ROUND(H13*K13,2)</f>
        <v>677.06</v>
      </c>
      <c r="N13" s="316">
        <f>O13-M13</f>
        <v>169.2600000000001</v>
      </c>
      <c r="O13" s="350">
        <f>ROUND(H13*J13,2)</f>
        <v>846.32</v>
      </c>
    </row>
    <row r="14" spans="1:22" ht="15" customHeight="1">
      <c r="A14" s="327" t="s">
        <v>87</v>
      </c>
      <c r="B14" s="326" t="s">
        <v>111</v>
      </c>
      <c r="C14" s="310" t="s">
        <v>67</v>
      </c>
      <c r="D14" s="127"/>
      <c r="E14" s="131"/>
      <c r="F14" s="370"/>
      <c r="G14" s="327" t="s">
        <v>90</v>
      </c>
      <c r="H14" s="309">
        <f>MEMÓRIA!H16</f>
        <v>1800</v>
      </c>
      <c r="I14" s="316">
        <v>0.49</v>
      </c>
      <c r="J14" s="316">
        <f t="shared" ref="J14:J33" si="0">ROUND(I14*(1+$O$7),2)</f>
        <v>0.61</v>
      </c>
      <c r="K14" s="316">
        <f t="shared" ref="K14:K27" si="1">ROUND(J14*0.8,2)</f>
        <v>0.49</v>
      </c>
      <c r="L14" s="316">
        <f>J14-K14</f>
        <v>0.12</v>
      </c>
      <c r="M14" s="316">
        <f>ROUND(H14*K14,2)</f>
        <v>882</v>
      </c>
      <c r="N14" s="316">
        <f>O14-M14</f>
        <v>216</v>
      </c>
      <c r="O14" s="350">
        <f t="shared" ref="O14:O33" si="2">ROUND(H14*J14,2)</f>
        <v>1098</v>
      </c>
    </row>
    <row r="15" spans="1:22" ht="15" customHeight="1">
      <c r="A15" s="327" t="s">
        <v>88</v>
      </c>
      <c r="B15" s="327">
        <v>72888</v>
      </c>
      <c r="C15" s="310" t="s">
        <v>144</v>
      </c>
      <c r="D15" s="127"/>
      <c r="E15" s="131"/>
      <c r="F15" s="370"/>
      <c r="G15" s="327" t="s">
        <v>91</v>
      </c>
      <c r="H15" s="309">
        <f>MEMÓRIA!H20</f>
        <v>360</v>
      </c>
      <c r="I15" s="316">
        <v>1.1399999999999999</v>
      </c>
      <c r="J15" s="316">
        <f>ROUND(I15*(1+$O$7),2)</f>
        <v>1.41</v>
      </c>
      <c r="K15" s="316">
        <f>ROUND(J15*0.8,2)</f>
        <v>1.1299999999999999</v>
      </c>
      <c r="L15" s="316">
        <f>J15-K15</f>
        <v>0.28000000000000003</v>
      </c>
      <c r="M15" s="316">
        <f>ROUND(H15*K15,2)</f>
        <v>406.8</v>
      </c>
      <c r="N15" s="316">
        <f>O15-M15</f>
        <v>100.80000000000001</v>
      </c>
      <c r="O15" s="350">
        <f t="shared" si="2"/>
        <v>507.6</v>
      </c>
    </row>
    <row r="16" spans="1:22" ht="15" customHeight="1">
      <c r="A16" s="327" t="s">
        <v>122</v>
      </c>
      <c r="B16" s="331">
        <v>93589</v>
      </c>
      <c r="C16" s="335" t="s">
        <v>176</v>
      </c>
      <c r="D16" s="144" t="s">
        <v>2</v>
      </c>
      <c r="E16" s="145">
        <f>S3</f>
        <v>13.1</v>
      </c>
      <c r="F16" s="332" t="s">
        <v>1</v>
      </c>
      <c r="G16" s="331" t="s">
        <v>143</v>
      </c>
      <c r="H16" s="366">
        <f>MEMÓRIA!H24</f>
        <v>5895</v>
      </c>
      <c r="I16" s="338">
        <v>1.18</v>
      </c>
      <c r="J16" s="316">
        <f t="shared" si="0"/>
        <v>1.46</v>
      </c>
      <c r="K16" s="316">
        <f t="shared" si="1"/>
        <v>1.17</v>
      </c>
      <c r="L16" s="316">
        <f t="shared" ref="L16:L27" si="3">J16-K16</f>
        <v>0.29000000000000004</v>
      </c>
      <c r="M16" s="316">
        <f>ROUND(H16*K16,2)</f>
        <v>6897.15</v>
      </c>
      <c r="N16" s="316">
        <f t="shared" ref="N16:N27" si="4">O16-M16</f>
        <v>1709.5500000000011</v>
      </c>
      <c r="O16" s="350">
        <f t="shared" si="2"/>
        <v>8606.7000000000007</v>
      </c>
    </row>
    <row r="17" spans="1:19" ht="15" customHeight="1">
      <c r="A17" s="327" t="s">
        <v>145</v>
      </c>
      <c r="B17" s="331">
        <v>83344</v>
      </c>
      <c r="C17" s="335" t="s">
        <v>51</v>
      </c>
      <c r="D17" s="127"/>
      <c r="E17" s="131"/>
      <c r="F17" s="332"/>
      <c r="G17" s="331" t="s">
        <v>91</v>
      </c>
      <c r="H17" s="366">
        <f>MEMÓRIA!H28</f>
        <v>360</v>
      </c>
      <c r="I17" s="338">
        <v>0.96</v>
      </c>
      <c r="J17" s="316">
        <f t="shared" si="0"/>
        <v>1.19</v>
      </c>
      <c r="K17" s="316">
        <f t="shared" si="1"/>
        <v>0.95</v>
      </c>
      <c r="L17" s="316">
        <f t="shared" si="3"/>
        <v>0.24</v>
      </c>
      <c r="M17" s="316">
        <f>ROUND(H17*K17,2)</f>
        <v>342</v>
      </c>
      <c r="N17" s="316">
        <f t="shared" si="4"/>
        <v>86.399999999999977</v>
      </c>
      <c r="O17" s="350">
        <f t="shared" si="2"/>
        <v>428.4</v>
      </c>
    </row>
    <row r="18" spans="1:19" ht="15" customHeight="1">
      <c r="A18" s="369" t="s">
        <v>53</v>
      </c>
      <c r="B18" s="368"/>
      <c r="C18" s="367" t="s">
        <v>89</v>
      </c>
      <c r="D18" s="127"/>
      <c r="E18" s="131"/>
      <c r="F18" s="332"/>
      <c r="G18" s="331"/>
      <c r="H18" s="366"/>
      <c r="I18" s="338"/>
      <c r="J18" s="316" t="s">
        <v>8</v>
      </c>
      <c r="K18" s="316"/>
      <c r="L18" s="316"/>
      <c r="M18" s="316"/>
      <c r="N18" s="316"/>
      <c r="O18" s="700" t="s">
        <v>8</v>
      </c>
    </row>
    <row r="19" spans="1:19" ht="15" customHeight="1">
      <c r="A19" s="327" t="s">
        <v>94</v>
      </c>
      <c r="B19" s="331">
        <v>90106</v>
      </c>
      <c r="C19" s="67" t="s">
        <v>488</v>
      </c>
      <c r="D19" s="127"/>
      <c r="E19" s="131"/>
      <c r="F19" s="332"/>
      <c r="G19" s="331" t="s">
        <v>91</v>
      </c>
      <c r="H19" s="366">
        <f>MEMÓRIA!H36</f>
        <v>60</v>
      </c>
      <c r="I19" s="338">
        <v>5.9</v>
      </c>
      <c r="J19" s="316">
        <f t="shared" si="0"/>
        <v>7.32</v>
      </c>
      <c r="K19" s="316">
        <f t="shared" si="1"/>
        <v>5.86</v>
      </c>
      <c r="L19" s="316">
        <f t="shared" si="3"/>
        <v>1.46</v>
      </c>
      <c r="M19" s="316">
        <f t="shared" ref="M19:M24" si="5">ROUND(H19*K19,2)</f>
        <v>351.6</v>
      </c>
      <c r="N19" s="316">
        <f t="shared" si="4"/>
        <v>87.599999999999966</v>
      </c>
      <c r="O19" s="350">
        <f t="shared" si="2"/>
        <v>439.2</v>
      </c>
    </row>
    <row r="20" spans="1:19" ht="15" customHeight="1">
      <c r="A20" s="327" t="s">
        <v>95</v>
      </c>
      <c r="B20" s="331">
        <v>72888</v>
      </c>
      <c r="C20" s="335" t="s">
        <v>144</v>
      </c>
      <c r="D20" s="127"/>
      <c r="E20" s="131"/>
      <c r="F20" s="332"/>
      <c r="G20" s="331" t="s">
        <v>91</v>
      </c>
      <c r="H20" s="308">
        <f>MEMÓRIA!H40</f>
        <v>60</v>
      </c>
      <c r="I20" s="338">
        <v>1.1399999999999999</v>
      </c>
      <c r="J20" s="316">
        <f t="shared" si="0"/>
        <v>1.41</v>
      </c>
      <c r="K20" s="316">
        <f t="shared" si="1"/>
        <v>1.1299999999999999</v>
      </c>
      <c r="L20" s="316">
        <f>J20-K20</f>
        <v>0.28000000000000003</v>
      </c>
      <c r="M20" s="316">
        <f t="shared" si="5"/>
        <v>67.8</v>
      </c>
      <c r="N20" s="316">
        <f>O20-M20</f>
        <v>16.799999999999997</v>
      </c>
      <c r="O20" s="350">
        <f t="shared" si="2"/>
        <v>84.6</v>
      </c>
    </row>
    <row r="21" spans="1:19" ht="15" customHeight="1">
      <c r="A21" s="327" t="s">
        <v>96</v>
      </c>
      <c r="B21" s="331">
        <v>93589</v>
      </c>
      <c r="C21" s="335" t="str">
        <f>C16</f>
        <v>Transporte comercial - bota-fora</v>
      </c>
      <c r="D21" s="144" t="s">
        <v>2</v>
      </c>
      <c r="E21" s="145">
        <f>E16</f>
        <v>13.1</v>
      </c>
      <c r="F21" s="332" t="s">
        <v>1</v>
      </c>
      <c r="G21" s="331" t="s">
        <v>143</v>
      </c>
      <c r="H21" s="366">
        <f>MEMÓRIA!H44</f>
        <v>982.5</v>
      </c>
      <c r="I21" s="338">
        <v>1.18</v>
      </c>
      <c r="J21" s="316">
        <f t="shared" si="0"/>
        <v>1.46</v>
      </c>
      <c r="K21" s="316">
        <f t="shared" si="1"/>
        <v>1.17</v>
      </c>
      <c r="L21" s="316">
        <f t="shared" si="3"/>
        <v>0.29000000000000004</v>
      </c>
      <c r="M21" s="316">
        <f t="shared" si="5"/>
        <v>1149.53</v>
      </c>
      <c r="N21" s="316">
        <f t="shared" si="4"/>
        <v>284.92000000000007</v>
      </c>
      <c r="O21" s="350">
        <f t="shared" si="2"/>
        <v>1434.45</v>
      </c>
    </row>
    <row r="22" spans="1:19" ht="15" customHeight="1">
      <c r="A22" s="327" t="s">
        <v>97</v>
      </c>
      <c r="B22" s="331">
        <v>83344</v>
      </c>
      <c r="C22" s="335" t="s">
        <v>51</v>
      </c>
      <c r="D22" s="127"/>
      <c r="E22" s="131"/>
      <c r="F22" s="332"/>
      <c r="G22" s="331" t="s">
        <v>91</v>
      </c>
      <c r="H22" s="366">
        <f>MEMÓRIA!H48</f>
        <v>60</v>
      </c>
      <c r="I22" s="338">
        <v>0.96</v>
      </c>
      <c r="J22" s="316">
        <f t="shared" si="0"/>
        <v>1.19</v>
      </c>
      <c r="K22" s="316">
        <f t="shared" si="1"/>
        <v>0.95</v>
      </c>
      <c r="L22" s="316">
        <f t="shared" si="3"/>
        <v>0.24</v>
      </c>
      <c r="M22" s="316">
        <f t="shared" si="5"/>
        <v>57</v>
      </c>
      <c r="N22" s="316">
        <f t="shared" si="4"/>
        <v>14.400000000000006</v>
      </c>
      <c r="O22" s="350">
        <f t="shared" si="2"/>
        <v>71.400000000000006</v>
      </c>
    </row>
    <row r="23" spans="1:19" s="36" customFormat="1" ht="15" customHeight="1">
      <c r="A23" s="327" t="s">
        <v>98</v>
      </c>
      <c r="B23" s="331" t="s">
        <v>244</v>
      </c>
      <c r="C23" s="335" t="s">
        <v>92</v>
      </c>
      <c r="D23" s="127"/>
      <c r="E23" s="131"/>
      <c r="F23" s="332"/>
      <c r="G23" s="331" t="s">
        <v>91</v>
      </c>
      <c r="H23" s="366">
        <f>MEMÓRIA!H51</f>
        <v>60</v>
      </c>
      <c r="I23" s="338">
        <v>103.88</v>
      </c>
      <c r="J23" s="316">
        <f t="shared" si="0"/>
        <v>128.84</v>
      </c>
      <c r="K23" s="316">
        <f t="shared" si="1"/>
        <v>103.07</v>
      </c>
      <c r="L23" s="316">
        <f t="shared" si="3"/>
        <v>25.77000000000001</v>
      </c>
      <c r="M23" s="316">
        <f t="shared" si="5"/>
        <v>6184.2</v>
      </c>
      <c r="N23" s="316">
        <f t="shared" si="4"/>
        <v>1546.1999999999998</v>
      </c>
      <c r="O23" s="350">
        <f t="shared" si="2"/>
        <v>7730.4</v>
      </c>
      <c r="Q23" s="77"/>
      <c r="R23" s="77"/>
      <c r="S23" s="77"/>
    </row>
    <row r="24" spans="1:19" ht="15" customHeight="1">
      <c r="A24" s="327" t="s">
        <v>146</v>
      </c>
      <c r="B24" s="331">
        <v>97915</v>
      </c>
      <c r="C24" s="335" t="s">
        <v>158</v>
      </c>
      <c r="D24" s="144" t="s">
        <v>2</v>
      </c>
      <c r="E24" s="145">
        <f>S4</f>
        <v>46.6</v>
      </c>
      <c r="F24" s="332" t="s">
        <v>1</v>
      </c>
      <c r="G24" s="331" t="s">
        <v>143</v>
      </c>
      <c r="H24" s="366">
        <f>MEMÓRIA!H55</f>
        <v>3215.4</v>
      </c>
      <c r="I24" s="338">
        <v>1.1100000000000001</v>
      </c>
      <c r="J24" s="316">
        <f t="shared" si="0"/>
        <v>1.38</v>
      </c>
      <c r="K24" s="316">
        <f t="shared" si="1"/>
        <v>1.1000000000000001</v>
      </c>
      <c r="L24" s="316">
        <f t="shared" si="3"/>
        <v>0.2799999999999998</v>
      </c>
      <c r="M24" s="316">
        <f t="shared" si="5"/>
        <v>3536.94</v>
      </c>
      <c r="N24" s="316">
        <f t="shared" si="4"/>
        <v>900.31</v>
      </c>
      <c r="O24" s="350">
        <f t="shared" si="2"/>
        <v>4437.25</v>
      </c>
    </row>
    <row r="25" spans="1:19" ht="15" customHeight="1">
      <c r="A25" s="353" t="s">
        <v>374</v>
      </c>
      <c r="B25" s="345">
        <v>72844</v>
      </c>
      <c r="C25" s="349" t="s">
        <v>373</v>
      </c>
      <c r="D25" s="348" t="s">
        <v>8</v>
      </c>
      <c r="E25" s="347" t="s">
        <v>8</v>
      </c>
      <c r="F25" s="346" t="s">
        <v>8</v>
      </c>
      <c r="G25" s="345" t="s">
        <v>69</v>
      </c>
      <c r="H25" s="341">
        <f>MEMÓRIA!H59</f>
        <v>102</v>
      </c>
      <c r="I25" s="343">
        <v>0.77</v>
      </c>
      <c r="J25" s="316">
        <f t="shared" si="0"/>
        <v>0.96</v>
      </c>
      <c r="K25" s="316">
        <f t="shared" ref="K25" si="6">ROUND(J25*0.8,2)</f>
        <v>0.77</v>
      </c>
      <c r="L25" s="316">
        <f t="shared" ref="L25" si="7">J25-K25</f>
        <v>0.18999999999999995</v>
      </c>
      <c r="M25" s="316">
        <f t="shared" ref="M25" si="8">ROUND(H25*K25,2)</f>
        <v>78.540000000000006</v>
      </c>
      <c r="N25" s="316">
        <f t="shared" ref="N25" si="9">O25-M25</f>
        <v>19.379999999999995</v>
      </c>
      <c r="O25" s="350">
        <f t="shared" si="2"/>
        <v>97.92</v>
      </c>
    </row>
    <row r="26" spans="1:19" ht="15" customHeight="1">
      <c r="A26" s="369" t="s">
        <v>52</v>
      </c>
      <c r="B26" s="368"/>
      <c r="C26" s="367" t="s">
        <v>93</v>
      </c>
      <c r="D26" s="144"/>
      <c r="E26" s="145"/>
      <c r="F26" s="332"/>
      <c r="G26" s="331"/>
      <c r="H26" s="366"/>
      <c r="I26" s="338"/>
      <c r="J26" s="316" t="s">
        <v>8</v>
      </c>
      <c r="K26" s="316" t="s">
        <v>8</v>
      </c>
      <c r="L26" s="316"/>
      <c r="M26" s="316"/>
      <c r="N26" s="316"/>
      <c r="O26" s="700" t="s">
        <v>8</v>
      </c>
    </row>
    <row r="27" spans="1:19" ht="15" customHeight="1">
      <c r="A27" s="327" t="s">
        <v>99</v>
      </c>
      <c r="B27" s="331">
        <v>83338</v>
      </c>
      <c r="C27" s="335" t="s">
        <v>375</v>
      </c>
      <c r="D27" s="127"/>
      <c r="E27" s="131"/>
      <c r="F27" s="332"/>
      <c r="G27" s="331" t="s">
        <v>91</v>
      </c>
      <c r="H27" s="366">
        <f>MEMÓRIA!H63</f>
        <v>3290.7999999999997</v>
      </c>
      <c r="I27" s="338">
        <v>2.52</v>
      </c>
      <c r="J27" s="316">
        <f t="shared" si="0"/>
        <v>3.13</v>
      </c>
      <c r="K27" s="316">
        <f t="shared" si="1"/>
        <v>2.5</v>
      </c>
      <c r="L27" s="316">
        <f t="shared" si="3"/>
        <v>0.62999999999999989</v>
      </c>
      <c r="M27" s="316">
        <f>ROUND(H27*K27,2)</f>
        <v>8227</v>
      </c>
      <c r="N27" s="316">
        <f t="shared" si="4"/>
        <v>2073.2000000000007</v>
      </c>
      <c r="O27" s="350">
        <f t="shared" si="2"/>
        <v>10300.200000000001</v>
      </c>
    </row>
    <row r="28" spans="1:19" ht="15" customHeight="1">
      <c r="A28" s="327" t="s">
        <v>106</v>
      </c>
      <c r="B28" s="35" t="s">
        <v>458</v>
      </c>
      <c r="C28" s="67" t="s">
        <v>418</v>
      </c>
      <c r="D28" s="156"/>
      <c r="E28" s="157"/>
      <c r="F28" s="332"/>
      <c r="G28" s="331" t="s">
        <v>91</v>
      </c>
      <c r="H28" s="366">
        <f>MEMÓRIA!H66</f>
        <v>173.20000000000027</v>
      </c>
      <c r="I28" s="338">
        <v>106.83</v>
      </c>
      <c r="J28" s="316">
        <f t="shared" si="0"/>
        <v>132.5</v>
      </c>
      <c r="K28" s="316">
        <f t="shared" ref="K28:K33" si="10">ROUND(J28*0.8,2)</f>
        <v>106</v>
      </c>
      <c r="L28" s="316">
        <f t="shared" ref="L28:L33" si="11">J28-K28</f>
        <v>26.5</v>
      </c>
      <c r="M28" s="316">
        <f t="shared" ref="M28:M33" si="12">ROUND(H28*K28,2)</f>
        <v>18359.2</v>
      </c>
      <c r="N28" s="316">
        <f t="shared" ref="N28:N33" si="13">O28-M28</f>
        <v>4589.7999999999993</v>
      </c>
      <c r="O28" s="350">
        <f t="shared" si="2"/>
        <v>22949</v>
      </c>
    </row>
    <row r="29" spans="1:19" s="312" customFormat="1" ht="15" customHeight="1">
      <c r="A29" s="327" t="s">
        <v>107</v>
      </c>
      <c r="B29" s="345">
        <v>72888</v>
      </c>
      <c r="C29" s="349" t="s">
        <v>144</v>
      </c>
      <c r="D29" s="348" t="s">
        <v>8</v>
      </c>
      <c r="E29" s="347" t="s">
        <v>8</v>
      </c>
      <c r="F29" s="346" t="s">
        <v>8</v>
      </c>
      <c r="G29" s="345" t="s">
        <v>91</v>
      </c>
      <c r="H29" s="341">
        <f>MEMÓRIA!H78</f>
        <v>4169.7000000000007</v>
      </c>
      <c r="I29" s="343">
        <v>1.1399999999999999</v>
      </c>
      <c r="J29" s="344">
        <v>0.93</v>
      </c>
      <c r="K29" s="316">
        <f t="shared" si="10"/>
        <v>0.74</v>
      </c>
      <c r="L29" s="316">
        <f t="shared" si="11"/>
        <v>0.19000000000000006</v>
      </c>
      <c r="M29" s="316">
        <f t="shared" si="12"/>
        <v>3085.58</v>
      </c>
      <c r="N29" s="316">
        <f t="shared" si="13"/>
        <v>792.24000000000024</v>
      </c>
      <c r="O29" s="350">
        <f t="shared" si="2"/>
        <v>3877.82</v>
      </c>
      <c r="Q29" s="313"/>
      <c r="R29" s="313"/>
      <c r="S29" s="313"/>
    </row>
    <row r="30" spans="1:19" ht="15" customHeight="1">
      <c r="A30" s="327" t="s">
        <v>108</v>
      </c>
      <c r="B30" s="331">
        <v>93589</v>
      </c>
      <c r="C30" s="335" t="str">
        <f>C21</f>
        <v>Transporte comercial - bota-fora</v>
      </c>
      <c r="D30" s="144" t="s">
        <v>2</v>
      </c>
      <c r="E30" s="145">
        <f>E16</f>
        <v>13.1</v>
      </c>
      <c r="F30" s="332" t="s">
        <v>1</v>
      </c>
      <c r="G30" s="331" t="s">
        <v>143</v>
      </c>
      <c r="H30" s="366">
        <f>MEMÓRIA!H74</f>
        <v>54623.070000000007</v>
      </c>
      <c r="I30" s="338">
        <v>1.18</v>
      </c>
      <c r="J30" s="316">
        <f t="shared" si="0"/>
        <v>1.46</v>
      </c>
      <c r="K30" s="316">
        <f t="shared" si="10"/>
        <v>1.17</v>
      </c>
      <c r="L30" s="316">
        <f t="shared" si="11"/>
        <v>0.29000000000000004</v>
      </c>
      <c r="M30" s="316">
        <f t="shared" si="12"/>
        <v>63908.99</v>
      </c>
      <c r="N30" s="316">
        <f t="shared" si="13"/>
        <v>15840.689999999995</v>
      </c>
      <c r="O30" s="350">
        <f t="shared" si="2"/>
        <v>79749.679999999993</v>
      </c>
    </row>
    <row r="31" spans="1:19" ht="15" customHeight="1">
      <c r="A31" s="327" t="s">
        <v>248</v>
      </c>
      <c r="B31" s="331">
        <v>83344</v>
      </c>
      <c r="C31" s="335" t="s">
        <v>51</v>
      </c>
      <c r="D31" s="127"/>
      <c r="E31" s="131"/>
      <c r="F31" s="332"/>
      <c r="G31" s="331" t="s">
        <v>91</v>
      </c>
      <c r="H31" s="366">
        <f>MEMÓRIA!H78</f>
        <v>4169.7000000000007</v>
      </c>
      <c r="I31" s="338">
        <v>0.96</v>
      </c>
      <c r="J31" s="316">
        <f t="shared" si="0"/>
        <v>1.19</v>
      </c>
      <c r="K31" s="316">
        <f t="shared" si="10"/>
        <v>0.95</v>
      </c>
      <c r="L31" s="316">
        <f t="shared" si="11"/>
        <v>0.24</v>
      </c>
      <c r="M31" s="316">
        <f t="shared" si="12"/>
        <v>3961.22</v>
      </c>
      <c r="N31" s="316">
        <f t="shared" si="13"/>
        <v>1000.7199999999998</v>
      </c>
      <c r="O31" s="350">
        <f t="shared" si="2"/>
        <v>4961.9399999999996</v>
      </c>
    </row>
    <row r="32" spans="1:19" s="312" customFormat="1" ht="15" customHeight="1">
      <c r="A32" s="327" t="s">
        <v>382</v>
      </c>
      <c r="B32" s="331">
        <v>41722</v>
      </c>
      <c r="C32" s="335" t="s">
        <v>105</v>
      </c>
      <c r="D32" s="127"/>
      <c r="E32" s="131"/>
      <c r="F32" s="332"/>
      <c r="G32" s="331" t="s">
        <v>91</v>
      </c>
      <c r="H32" s="366">
        <f>MEMÓRIA!H81</f>
        <v>117</v>
      </c>
      <c r="I32" s="338">
        <v>4.54</v>
      </c>
      <c r="J32" s="316">
        <f t="shared" ref="J32" si="14">ROUND(I32*(1+$O$7),2)</f>
        <v>5.63</v>
      </c>
      <c r="K32" s="316">
        <f t="shared" si="10"/>
        <v>4.5</v>
      </c>
      <c r="L32" s="316">
        <f t="shared" si="11"/>
        <v>1.1299999999999999</v>
      </c>
      <c r="M32" s="316">
        <f t="shared" si="12"/>
        <v>526.5</v>
      </c>
      <c r="N32" s="316">
        <f t="shared" si="13"/>
        <v>132.21000000000004</v>
      </c>
      <c r="O32" s="350">
        <f t="shared" si="2"/>
        <v>658.71</v>
      </c>
      <c r="Q32" s="313"/>
      <c r="R32" s="313"/>
      <c r="S32" s="313"/>
    </row>
    <row r="33" spans="1:15" ht="15" customHeight="1" thickBot="1">
      <c r="A33" s="326" t="s">
        <v>459</v>
      </c>
      <c r="B33" s="331">
        <v>98504</v>
      </c>
      <c r="C33" s="67" t="s">
        <v>489</v>
      </c>
      <c r="D33" s="127"/>
      <c r="E33" s="131"/>
      <c r="F33" s="332"/>
      <c r="G33" s="35" t="s">
        <v>90</v>
      </c>
      <c r="H33" s="561">
        <f>MEMÓRIA!H88</f>
        <v>540</v>
      </c>
      <c r="I33" s="338">
        <v>13.84</v>
      </c>
      <c r="J33" s="316">
        <f t="shared" si="0"/>
        <v>17.170000000000002</v>
      </c>
      <c r="K33" s="316">
        <f t="shared" si="10"/>
        <v>13.74</v>
      </c>
      <c r="L33" s="316">
        <f t="shared" si="11"/>
        <v>3.4300000000000015</v>
      </c>
      <c r="M33" s="316">
        <f t="shared" si="12"/>
        <v>7419.6</v>
      </c>
      <c r="N33" s="316">
        <f t="shared" si="13"/>
        <v>1852.1999999999989</v>
      </c>
      <c r="O33" s="350">
        <f t="shared" si="2"/>
        <v>9271.7999999999993</v>
      </c>
    </row>
    <row r="34" spans="1:15" ht="15" customHeight="1" thickBot="1">
      <c r="A34" s="837" t="s">
        <v>50</v>
      </c>
      <c r="B34" s="838"/>
      <c r="C34" s="838"/>
      <c r="D34" s="838"/>
      <c r="E34" s="838"/>
      <c r="F34" s="838"/>
      <c r="G34" s="838"/>
      <c r="H34" s="838"/>
      <c r="I34" s="838"/>
      <c r="J34" s="838"/>
      <c r="K34" s="838"/>
      <c r="L34" s="838"/>
      <c r="M34" s="40">
        <f>SUM(M13:M33)</f>
        <v>126118.71</v>
      </c>
      <c r="N34" s="42">
        <f>SUM(N13:N33)</f>
        <v>31432.679999999993</v>
      </c>
      <c r="O34" s="41">
        <f>SUM(O13:O33)</f>
        <v>157551.38999999998</v>
      </c>
    </row>
    <row r="35" spans="1:15" ht="15" customHeight="1" thickBot="1">
      <c r="A35" s="21" t="s">
        <v>76</v>
      </c>
      <c r="B35" s="20"/>
      <c r="C35" s="19" t="s">
        <v>49</v>
      </c>
      <c r="D35" s="19"/>
      <c r="E35" s="129"/>
      <c r="F35" s="19"/>
      <c r="G35" s="18"/>
      <c r="H35" s="18"/>
      <c r="I35" s="18"/>
      <c r="J35" s="18"/>
      <c r="K35" s="18"/>
      <c r="L35" s="18"/>
      <c r="M35" s="18"/>
      <c r="N35" s="18"/>
      <c r="O35" s="16"/>
    </row>
    <row r="36" spans="1:15" ht="15" customHeight="1">
      <c r="A36" s="365" t="s">
        <v>48</v>
      </c>
      <c r="B36" s="364">
        <v>72961</v>
      </c>
      <c r="C36" s="363" t="s">
        <v>47</v>
      </c>
      <c r="D36" s="362"/>
      <c r="E36" s="361"/>
      <c r="F36" s="360"/>
      <c r="G36" s="364" t="s">
        <v>90</v>
      </c>
      <c r="H36" s="359">
        <f>MEMÓRIA!H95</f>
        <v>8045.3</v>
      </c>
      <c r="I36" s="344">
        <v>1.31</v>
      </c>
      <c r="J36" s="344">
        <f t="shared" ref="J36:J46" si="15">ROUND(I36*(1+$O$7),2)</f>
        <v>1.62</v>
      </c>
      <c r="K36" s="344">
        <f>ROUND(J36*0.8,2)</f>
        <v>1.3</v>
      </c>
      <c r="L36" s="344">
        <f>J36-K36</f>
        <v>0.32000000000000006</v>
      </c>
      <c r="M36" s="324">
        <f>ROUND(H36*K36,2)</f>
        <v>10458.89</v>
      </c>
      <c r="N36" s="324">
        <f>O36-M36</f>
        <v>2574.5</v>
      </c>
      <c r="O36" s="315">
        <f>ROUND(H36*J36,2)</f>
        <v>13033.39</v>
      </c>
    </row>
    <row r="37" spans="1:15" s="373" customFormat="1" ht="15" customHeight="1">
      <c r="A37" s="353" t="s">
        <v>46</v>
      </c>
      <c r="B37" s="342">
        <v>96399</v>
      </c>
      <c r="C37" s="357" t="s">
        <v>376</v>
      </c>
      <c r="D37" s="356"/>
      <c r="E37" s="355"/>
      <c r="F37" s="354"/>
      <c r="G37" s="587" t="s">
        <v>91</v>
      </c>
      <c r="H37" s="341">
        <f>MEMÓRIA!H101</f>
        <v>1573.06</v>
      </c>
      <c r="I37" s="338">
        <v>71.7</v>
      </c>
      <c r="J37" s="338">
        <f>ROUND(I37*(1+$O$7),2)</f>
        <v>88.93</v>
      </c>
      <c r="K37" s="338">
        <f>ROUND(J37*0.8,2)</f>
        <v>71.14</v>
      </c>
      <c r="L37" s="338">
        <f>J37-K37</f>
        <v>17.790000000000006</v>
      </c>
      <c r="M37" s="316">
        <f>ROUND(H37*K37,2)</f>
        <v>111907.49</v>
      </c>
      <c r="N37" s="316">
        <f>O37-M37</f>
        <v>27984.740000000005</v>
      </c>
      <c r="O37" s="315">
        <f t="shared" ref="O37:O47" si="16">ROUND(H37*J37,2)</f>
        <v>139892.23000000001</v>
      </c>
    </row>
    <row r="38" spans="1:15" s="373" customFormat="1" ht="15" customHeight="1">
      <c r="A38" s="353" t="s">
        <v>45</v>
      </c>
      <c r="B38" s="342">
        <v>97915</v>
      </c>
      <c r="C38" s="340" t="s">
        <v>377</v>
      </c>
      <c r="D38" s="334" t="s">
        <v>2</v>
      </c>
      <c r="E38" s="333">
        <f>S4</f>
        <v>46.6</v>
      </c>
      <c r="F38" s="332" t="s">
        <v>1</v>
      </c>
      <c r="G38" s="35" t="s">
        <v>143</v>
      </c>
      <c r="H38" s="341">
        <f>MEMÓRIA!H105</f>
        <v>84300.285399999993</v>
      </c>
      <c r="I38" s="338">
        <v>1.1100000000000001</v>
      </c>
      <c r="J38" s="338">
        <f>ROUND(I38*(1+$O$7),2)</f>
        <v>1.38</v>
      </c>
      <c r="K38" s="338">
        <f>ROUND(J38*0.8,2)</f>
        <v>1.1000000000000001</v>
      </c>
      <c r="L38" s="338">
        <f>J38-K38</f>
        <v>0.2799999999999998</v>
      </c>
      <c r="M38" s="316">
        <f>ROUND(H38*K38,2)</f>
        <v>92730.31</v>
      </c>
      <c r="N38" s="316">
        <f>O38-M38</f>
        <v>23604.080000000002</v>
      </c>
      <c r="O38" s="315">
        <f t="shared" si="16"/>
        <v>116334.39</v>
      </c>
    </row>
    <row r="39" spans="1:15" s="373" customFormat="1" ht="15" customHeight="1">
      <c r="A39" s="353" t="s">
        <v>44</v>
      </c>
      <c r="B39" s="331">
        <v>72844</v>
      </c>
      <c r="C39" s="352" t="s">
        <v>373</v>
      </c>
      <c r="D39" s="334" t="s">
        <v>8</v>
      </c>
      <c r="E39" s="333" t="s">
        <v>8</v>
      </c>
      <c r="F39" s="351" t="s">
        <v>8</v>
      </c>
      <c r="G39" s="331" t="s">
        <v>69</v>
      </c>
      <c r="H39" s="341">
        <f>MEMÓRIA!H109</f>
        <v>2674.2019999999998</v>
      </c>
      <c r="I39" s="338">
        <v>0.77</v>
      </c>
      <c r="J39" s="338">
        <f>ROUND(I39*(1+$O$7),2)</f>
        <v>0.96</v>
      </c>
      <c r="K39" s="338">
        <f>ROUND(J39*0.8,2)</f>
        <v>0.77</v>
      </c>
      <c r="L39" s="338">
        <f>J39-K39</f>
        <v>0.18999999999999995</v>
      </c>
      <c r="M39" s="316">
        <f>ROUND(H39*K39,2)</f>
        <v>2059.14</v>
      </c>
      <c r="N39" s="316">
        <f>O39-M39</f>
        <v>508.09000000000015</v>
      </c>
      <c r="O39" s="315">
        <f t="shared" si="16"/>
        <v>2567.23</v>
      </c>
    </row>
    <row r="40" spans="1:15" ht="15" customHeight="1">
      <c r="A40" s="353" t="s">
        <v>43</v>
      </c>
      <c r="B40" s="342">
        <v>96396</v>
      </c>
      <c r="C40" s="357" t="s">
        <v>110</v>
      </c>
      <c r="D40" s="356"/>
      <c r="E40" s="355"/>
      <c r="F40" s="354"/>
      <c r="G40" s="342" t="s">
        <v>91</v>
      </c>
      <c r="H40" s="341">
        <f>MEMÓRIA!H109</f>
        <v>2674.2019999999998</v>
      </c>
      <c r="I40" s="338">
        <v>87.77</v>
      </c>
      <c r="J40" s="338">
        <f t="shared" si="15"/>
        <v>108.86</v>
      </c>
      <c r="K40" s="338">
        <f t="shared" ref="K40:K45" si="17">ROUND(J40*0.8,2)</f>
        <v>87.09</v>
      </c>
      <c r="L40" s="338">
        <f t="shared" ref="L40:L45" si="18">J40-K40</f>
        <v>21.769999999999996</v>
      </c>
      <c r="M40" s="316">
        <f t="shared" ref="M40:M46" si="19">ROUND(H40*K40,2)</f>
        <v>232896.25</v>
      </c>
      <c r="N40" s="316">
        <f t="shared" ref="N40:N46" si="20">O40-M40</f>
        <v>58217.380000000005</v>
      </c>
      <c r="O40" s="315">
        <f t="shared" si="16"/>
        <v>291113.63</v>
      </c>
    </row>
    <row r="41" spans="1:15" ht="15" customHeight="1">
      <c r="A41" s="353" t="s">
        <v>42</v>
      </c>
      <c r="B41" s="342">
        <v>83356</v>
      </c>
      <c r="C41" s="340" t="s">
        <v>157</v>
      </c>
      <c r="D41" s="334" t="s">
        <v>2</v>
      </c>
      <c r="E41" s="333">
        <f>S4</f>
        <v>46.6</v>
      </c>
      <c r="F41" s="332" t="s">
        <v>1</v>
      </c>
      <c r="G41" s="35" t="s">
        <v>143</v>
      </c>
      <c r="H41" s="341">
        <f>MEMÓRIA!H119</f>
        <v>102126.11816000001</v>
      </c>
      <c r="I41" s="338">
        <v>0.78</v>
      </c>
      <c r="J41" s="338">
        <f t="shared" si="15"/>
        <v>0.97</v>
      </c>
      <c r="K41" s="338">
        <f t="shared" si="17"/>
        <v>0.78</v>
      </c>
      <c r="L41" s="338">
        <f t="shared" si="18"/>
        <v>0.18999999999999995</v>
      </c>
      <c r="M41" s="316">
        <f t="shared" si="19"/>
        <v>79658.37</v>
      </c>
      <c r="N41" s="316">
        <f t="shared" si="20"/>
        <v>19403.960000000006</v>
      </c>
      <c r="O41" s="315">
        <f t="shared" si="16"/>
        <v>99062.33</v>
      </c>
    </row>
    <row r="42" spans="1:15" s="373" customFormat="1" ht="15" customHeight="1">
      <c r="A42" s="353" t="s">
        <v>41</v>
      </c>
      <c r="B42" s="331">
        <v>72848</v>
      </c>
      <c r="C42" s="352" t="s">
        <v>378</v>
      </c>
      <c r="D42" s="334" t="s">
        <v>8</v>
      </c>
      <c r="E42" s="333" t="s">
        <v>8</v>
      </c>
      <c r="F42" s="351" t="s">
        <v>8</v>
      </c>
      <c r="G42" s="331" t="s">
        <v>69</v>
      </c>
      <c r="H42" s="341">
        <f>MEMÓRIA!H123</f>
        <v>2251.59</v>
      </c>
      <c r="I42" s="338">
        <v>2.0499999999999998</v>
      </c>
      <c r="J42" s="338">
        <f>ROUND(I42*(1+$O$7),2)</f>
        <v>2.54</v>
      </c>
      <c r="K42" s="338">
        <f>ROUND(J42*0.8,2)</f>
        <v>2.0299999999999998</v>
      </c>
      <c r="L42" s="338">
        <f>J42-K42</f>
        <v>0.51000000000000023</v>
      </c>
      <c r="M42" s="316">
        <f>ROUND(H42*K42,2)</f>
        <v>4570.7299999999996</v>
      </c>
      <c r="N42" s="316">
        <f>O42-M42</f>
        <v>1148.3100000000004</v>
      </c>
      <c r="O42" s="315">
        <f t="shared" si="16"/>
        <v>5719.04</v>
      </c>
    </row>
    <row r="43" spans="1:15" ht="15" customHeight="1">
      <c r="A43" s="353" t="s">
        <v>40</v>
      </c>
      <c r="B43" s="342">
        <v>96401</v>
      </c>
      <c r="C43" s="356" t="s">
        <v>4</v>
      </c>
      <c r="D43" s="356"/>
      <c r="E43" s="358"/>
      <c r="F43" s="354"/>
      <c r="G43" s="342" t="s">
        <v>90</v>
      </c>
      <c r="H43" s="341">
        <f>MEMÓRIA!H129</f>
        <v>7235.3</v>
      </c>
      <c r="I43" s="338">
        <v>6.01</v>
      </c>
      <c r="J43" s="338">
        <f t="shared" si="15"/>
        <v>7.45</v>
      </c>
      <c r="K43" s="338">
        <f t="shared" si="17"/>
        <v>5.96</v>
      </c>
      <c r="L43" s="338">
        <f t="shared" si="18"/>
        <v>1.4900000000000002</v>
      </c>
      <c r="M43" s="316">
        <f t="shared" si="19"/>
        <v>43122.39</v>
      </c>
      <c r="N43" s="316">
        <f t="shared" si="20"/>
        <v>10780.599999999999</v>
      </c>
      <c r="O43" s="315">
        <f t="shared" si="16"/>
        <v>53902.99</v>
      </c>
    </row>
    <row r="44" spans="1:15" ht="15" customHeight="1">
      <c r="A44" s="353" t="s">
        <v>70</v>
      </c>
      <c r="B44" s="342">
        <v>72943</v>
      </c>
      <c r="C44" s="357" t="s">
        <v>379</v>
      </c>
      <c r="D44" s="356"/>
      <c r="E44" s="358"/>
      <c r="F44" s="354"/>
      <c r="G44" s="342" t="s">
        <v>90</v>
      </c>
      <c r="H44" s="341">
        <f>MEMÓRIA!H135</f>
        <v>7235.3</v>
      </c>
      <c r="I44" s="338">
        <v>1.73</v>
      </c>
      <c r="J44" s="338">
        <f t="shared" si="15"/>
        <v>2.15</v>
      </c>
      <c r="K44" s="338">
        <f t="shared" si="17"/>
        <v>1.72</v>
      </c>
      <c r="L44" s="338">
        <f t="shared" si="18"/>
        <v>0.42999999999999994</v>
      </c>
      <c r="M44" s="316">
        <f t="shared" si="19"/>
        <v>12444.72</v>
      </c>
      <c r="N44" s="316">
        <f t="shared" si="20"/>
        <v>3111.1800000000003</v>
      </c>
      <c r="O44" s="315">
        <f t="shared" si="16"/>
        <v>15555.9</v>
      </c>
    </row>
    <row r="45" spans="1:15" ht="15" customHeight="1">
      <c r="A45" s="353" t="s">
        <v>211</v>
      </c>
      <c r="B45" s="587" t="s">
        <v>638</v>
      </c>
      <c r="C45" s="357" t="s">
        <v>380</v>
      </c>
      <c r="D45" s="356"/>
      <c r="E45" s="355"/>
      <c r="F45" s="354"/>
      <c r="G45" s="342" t="s">
        <v>91</v>
      </c>
      <c r="H45" s="341">
        <f>MEMÓRIA!H141</f>
        <v>360</v>
      </c>
      <c r="I45" s="338">
        <f>COMP.01!H32</f>
        <v>744.88730500000008</v>
      </c>
      <c r="J45" s="338">
        <f t="shared" si="15"/>
        <v>923.88</v>
      </c>
      <c r="K45" s="338">
        <f t="shared" si="17"/>
        <v>739.1</v>
      </c>
      <c r="L45" s="338">
        <f t="shared" si="18"/>
        <v>184.77999999999997</v>
      </c>
      <c r="M45" s="316">
        <f t="shared" si="19"/>
        <v>266076</v>
      </c>
      <c r="N45" s="316">
        <f t="shared" si="20"/>
        <v>66520.799999999988</v>
      </c>
      <c r="O45" s="315">
        <f t="shared" si="16"/>
        <v>332596.8</v>
      </c>
    </row>
    <row r="46" spans="1:15" ht="15" customHeight="1">
      <c r="A46" s="353" t="s">
        <v>247</v>
      </c>
      <c r="B46" s="331">
        <v>95303</v>
      </c>
      <c r="C46" s="352" t="s">
        <v>3</v>
      </c>
      <c r="D46" s="334" t="s">
        <v>2</v>
      </c>
      <c r="E46" s="333">
        <f>S4</f>
        <v>46.6</v>
      </c>
      <c r="F46" s="351" t="s">
        <v>1</v>
      </c>
      <c r="G46" s="331" t="s">
        <v>155</v>
      </c>
      <c r="H46" s="341">
        <f>MEMÓRIA!H146</f>
        <v>21915.723699999999</v>
      </c>
      <c r="I46" s="338">
        <v>1</v>
      </c>
      <c r="J46" s="338">
        <f t="shared" si="15"/>
        <v>1.24</v>
      </c>
      <c r="K46" s="338">
        <f t="shared" ref="K46:K47" si="21">ROUND(J46*0.8,2)</f>
        <v>0.99</v>
      </c>
      <c r="L46" s="338">
        <f t="shared" ref="L46:L47" si="22">J46-K46</f>
        <v>0.25</v>
      </c>
      <c r="M46" s="316">
        <f t="shared" si="19"/>
        <v>21696.57</v>
      </c>
      <c r="N46" s="316">
        <f t="shared" si="20"/>
        <v>5478.93</v>
      </c>
      <c r="O46" s="315">
        <f t="shared" si="16"/>
        <v>27175.5</v>
      </c>
    </row>
    <row r="47" spans="1:15" s="312" customFormat="1" ht="15" customHeight="1" thickBot="1">
      <c r="A47" s="353" t="s">
        <v>381</v>
      </c>
      <c r="B47" s="331">
        <v>72846</v>
      </c>
      <c r="C47" s="352" t="s">
        <v>245</v>
      </c>
      <c r="D47" s="334" t="s">
        <v>8</v>
      </c>
      <c r="E47" s="333" t="s">
        <v>8</v>
      </c>
      <c r="F47" s="351" t="s">
        <v>8</v>
      </c>
      <c r="G47" s="331" t="s">
        <v>69</v>
      </c>
      <c r="H47" s="560">
        <f>MEMÓRIA!H150</f>
        <v>868.23599999999999</v>
      </c>
      <c r="I47" s="338">
        <v>3.8</v>
      </c>
      <c r="J47" s="338">
        <f t="shared" ref="J47" si="23">ROUND(I47*(1+$O$7),2)</f>
        <v>4.71</v>
      </c>
      <c r="K47" s="338">
        <f t="shared" si="21"/>
        <v>3.77</v>
      </c>
      <c r="L47" s="338">
        <f t="shared" si="22"/>
        <v>0.94</v>
      </c>
      <c r="M47" s="316">
        <f t="shared" ref="M47" si="24">ROUND(H47*K47,2)</f>
        <v>3273.25</v>
      </c>
      <c r="N47" s="316">
        <f t="shared" ref="N47" si="25">O47-M47</f>
        <v>816.13999999999987</v>
      </c>
      <c r="O47" s="315">
        <f t="shared" si="16"/>
        <v>4089.39</v>
      </c>
    </row>
    <row r="48" spans="1:15" ht="15" customHeight="1" thickBot="1">
      <c r="A48" s="830" t="s">
        <v>109</v>
      </c>
      <c r="B48" s="831"/>
      <c r="C48" s="831"/>
      <c r="D48" s="831"/>
      <c r="E48" s="831"/>
      <c r="F48" s="831"/>
      <c r="G48" s="831"/>
      <c r="H48" s="831"/>
      <c r="I48" s="831"/>
      <c r="J48" s="831"/>
      <c r="K48" s="831"/>
      <c r="L48" s="831"/>
      <c r="M48" s="232">
        <f>SUM(M36:M47)</f>
        <v>880894.10999999987</v>
      </c>
      <c r="N48" s="232">
        <f>SUM(N36:N47)</f>
        <v>220148.71</v>
      </c>
      <c r="O48" s="233">
        <f>SUM(O36:O47)</f>
        <v>1101042.8199999998</v>
      </c>
    </row>
    <row r="49" spans="1:19" ht="15" customHeight="1" thickBot="1">
      <c r="A49" s="21" t="s">
        <v>78</v>
      </c>
      <c r="B49" s="20"/>
      <c r="C49" s="19" t="s">
        <v>38</v>
      </c>
      <c r="D49" s="19"/>
      <c r="E49" s="129"/>
      <c r="F49" s="19"/>
      <c r="G49" s="18"/>
      <c r="H49" s="18"/>
      <c r="I49" s="17"/>
      <c r="J49" s="17"/>
      <c r="K49" s="17"/>
      <c r="L49" s="17"/>
      <c r="M49" s="17"/>
      <c r="N49" s="17"/>
      <c r="O49" s="26"/>
    </row>
    <row r="50" spans="1:19" ht="15" customHeight="1">
      <c r="A50" s="28" t="s">
        <v>37</v>
      </c>
      <c r="B50" s="43">
        <v>90101</v>
      </c>
      <c r="C50" s="44" t="s">
        <v>36</v>
      </c>
      <c r="D50" s="588"/>
      <c r="E50" s="589"/>
      <c r="F50" s="45"/>
      <c r="G50" s="303" t="s">
        <v>91</v>
      </c>
      <c r="H50" s="117">
        <f>MEMÓRIA!H160</f>
        <v>172.57500000000002</v>
      </c>
      <c r="I50" s="324">
        <v>9.76</v>
      </c>
      <c r="J50" s="324">
        <f t="shared" ref="J50" si="26">ROUND(I50*(1+$O$7),2)</f>
        <v>12.11</v>
      </c>
      <c r="K50" s="324">
        <f>ROUND(J50*0.8,2)</f>
        <v>9.69</v>
      </c>
      <c r="L50" s="324">
        <f>J50-K50</f>
        <v>2.42</v>
      </c>
      <c r="M50" s="324">
        <f>ROUND(H50*K50,2)</f>
        <v>1672.25</v>
      </c>
      <c r="N50" s="324">
        <f>O50-M50</f>
        <v>417.63000000000011</v>
      </c>
      <c r="O50" s="315">
        <f>ROUND(H50*J50,2)</f>
        <v>2089.88</v>
      </c>
    </row>
    <row r="51" spans="1:19" ht="15" customHeight="1">
      <c r="A51" s="318" t="s">
        <v>35</v>
      </c>
      <c r="B51" s="326" t="s">
        <v>383</v>
      </c>
      <c r="C51" s="371" t="s">
        <v>384</v>
      </c>
      <c r="D51" s="340"/>
      <c r="E51" s="339"/>
      <c r="F51" s="329"/>
      <c r="G51" s="336" t="s">
        <v>91</v>
      </c>
      <c r="H51" s="323">
        <f>MEMÓRIA!H161</f>
        <v>19.174999999999983</v>
      </c>
      <c r="I51" s="316">
        <v>320.89999999999998</v>
      </c>
      <c r="J51" s="316">
        <f t="shared" ref="J51:J59" si="27">ROUND(I51*(1+$O$7),2)</f>
        <v>398.01</v>
      </c>
      <c r="K51" s="316">
        <f>ROUND(J51*0.8,2)</f>
        <v>318.41000000000003</v>
      </c>
      <c r="L51" s="316">
        <f>J51-K51</f>
        <v>79.599999999999966</v>
      </c>
      <c r="M51" s="316">
        <f t="shared" ref="M51:M59" si="28">ROUND(H51*K51,2)</f>
        <v>6105.51</v>
      </c>
      <c r="N51" s="316">
        <f t="shared" ref="N51:N59" si="29">O51-M51</f>
        <v>1526.33</v>
      </c>
      <c r="O51" s="350">
        <f>ROUND(H51*J51,2)</f>
        <v>7631.84</v>
      </c>
    </row>
    <row r="52" spans="1:19" ht="15" customHeight="1">
      <c r="A52" s="318" t="s">
        <v>34</v>
      </c>
      <c r="B52" s="326">
        <v>94112</v>
      </c>
      <c r="C52" s="371" t="s">
        <v>252</v>
      </c>
      <c r="D52" s="340"/>
      <c r="E52" s="339"/>
      <c r="F52" s="329"/>
      <c r="G52" s="318" t="s">
        <v>91</v>
      </c>
      <c r="H52" s="323">
        <f>MEMÓRIA!H167</f>
        <v>6.8950000000000005</v>
      </c>
      <c r="I52" s="316">
        <v>157.80000000000001</v>
      </c>
      <c r="J52" s="316">
        <f t="shared" si="27"/>
        <v>195.72</v>
      </c>
      <c r="K52" s="316">
        <f t="shared" ref="K52:K53" si="30">ROUND(J52*0.8,2)</f>
        <v>156.58000000000001</v>
      </c>
      <c r="L52" s="316">
        <f t="shared" ref="L52:L53" si="31">J52-K52</f>
        <v>39.139999999999986</v>
      </c>
      <c r="M52" s="316">
        <f t="shared" si="28"/>
        <v>1079.6199999999999</v>
      </c>
      <c r="N52" s="316">
        <f t="shared" si="29"/>
        <v>269.87000000000012</v>
      </c>
      <c r="O52" s="350">
        <f t="shared" ref="O52:O58" si="32">ROUND(H52*J52,2)</f>
        <v>1349.49</v>
      </c>
    </row>
    <row r="53" spans="1:19" s="312" customFormat="1" ht="15" customHeight="1">
      <c r="A53" s="318" t="s">
        <v>33</v>
      </c>
      <c r="B53" s="342">
        <v>83356</v>
      </c>
      <c r="C53" s="220" t="s">
        <v>156</v>
      </c>
      <c r="D53" s="334" t="s">
        <v>2</v>
      </c>
      <c r="E53" s="333">
        <f>S4</f>
        <v>46.6</v>
      </c>
      <c r="F53" s="332" t="s">
        <v>1</v>
      </c>
      <c r="G53" s="35" t="s">
        <v>143</v>
      </c>
      <c r="H53" s="167">
        <f>MEMÓRIA!H170</f>
        <v>469.10822000000007</v>
      </c>
      <c r="I53" s="338">
        <v>0.78</v>
      </c>
      <c r="J53" s="316">
        <f t="shared" si="27"/>
        <v>0.97</v>
      </c>
      <c r="K53" s="316">
        <f t="shared" si="30"/>
        <v>0.78</v>
      </c>
      <c r="L53" s="316">
        <f t="shared" si="31"/>
        <v>0.18999999999999995</v>
      </c>
      <c r="M53" s="316">
        <f t="shared" si="28"/>
        <v>365.9</v>
      </c>
      <c r="N53" s="316">
        <f t="shared" si="29"/>
        <v>89.13</v>
      </c>
      <c r="O53" s="350">
        <f t="shared" si="32"/>
        <v>455.03</v>
      </c>
      <c r="Q53" s="313"/>
      <c r="R53" s="313"/>
      <c r="S53" s="313"/>
    </row>
    <row r="54" spans="1:19" s="25" customFormat="1" ht="15" customHeight="1">
      <c r="A54" s="318" t="s">
        <v>32</v>
      </c>
      <c r="B54" s="331">
        <v>7762</v>
      </c>
      <c r="C54" s="67" t="s">
        <v>246</v>
      </c>
      <c r="D54" s="340"/>
      <c r="E54" s="339"/>
      <c r="F54" s="332"/>
      <c r="G54" s="331" t="s">
        <v>16</v>
      </c>
      <c r="H54" s="116">
        <f>MEMÓRIA!H174</f>
        <v>60</v>
      </c>
      <c r="I54" s="338">
        <v>91.16</v>
      </c>
      <c r="J54" s="316">
        <f t="shared" si="27"/>
        <v>113.07</v>
      </c>
      <c r="K54" s="338">
        <f t="shared" ref="K54:K58" si="33">ROUND(J54*0.8,2)</f>
        <v>90.46</v>
      </c>
      <c r="L54" s="338">
        <f t="shared" ref="L54:L58" si="34">J54-K54</f>
        <v>22.61</v>
      </c>
      <c r="M54" s="316">
        <f t="shared" si="28"/>
        <v>5427.6</v>
      </c>
      <c r="N54" s="316">
        <f t="shared" si="29"/>
        <v>1356.5999999999995</v>
      </c>
      <c r="O54" s="350">
        <f t="shared" si="32"/>
        <v>6784.2</v>
      </c>
      <c r="Q54" s="75"/>
      <c r="R54" s="75"/>
      <c r="S54" s="75"/>
    </row>
    <row r="55" spans="1:19" s="25" customFormat="1" ht="15" customHeight="1">
      <c r="A55" s="318" t="s">
        <v>31</v>
      </c>
      <c r="B55" s="331">
        <v>92824</v>
      </c>
      <c r="C55" s="67" t="s">
        <v>27</v>
      </c>
      <c r="D55" s="340"/>
      <c r="E55" s="339"/>
      <c r="F55" s="332"/>
      <c r="G55" s="331" t="s">
        <v>16</v>
      </c>
      <c r="H55" s="116">
        <f>MEMÓRIA!H179</f>
        <v>60</v>
      </c>
      <c r="I55" s="338">
        <v>71.28</v>
      </c>
      <c r="J55" s="316">
        <f t="shared" si="27"/>
        <v>88.41</v>
      </c>
      <c r="K55" s="338">
        <f t="shared" ref="K55:K56" si="35">ROUND(J55*0.8,2)</f>
        <v>70.73</v>
      </c>
      <c r="L55" s="338">
        <f t="shared" ref="L55:L56" si="36">J55-K55</f>
        <v>17.679999999999993</v>
      </c>
      <c r="M55" s="316">
        <f t="shared" si="28"/>
        <v>4243.8</v>
      </c>
      <c r="N55" s="316">
        <f t="shared" si="29"/>
        <v>1060.8000000000002</v>
      </c>
      <c r="O55" s="350">
        <f t="shared" si="32"/>
        <v>5304.6</v>
      </c>
      <c r="Q55" s="75"/>
      <c r="R55" s="75"/>
      <c r="S55" s="75"/>
    </row>
    <row r="56" spans="1:19" s="25" customFormat="1" ht="15" customHeight="1">
      <c r="A56" s="318" t="s">
        <v>30</v>
      </c>
      <c r="B56" s="331">
        <v>7763</v>
      </c>
      <c r="C56" s="67" t="s">
        <v>371</v>
      </c>
      <c r="D56" s="340"/>
      <c r="E56" s="339"/>
      <c r="F56" s="332"/>
      <c r="G56" s="331" t="s">
        <v>16</v>
      </c>
      <c r="H56" s="116">
        <f>MEMÓRIA!H175</f>
        <v>13</v>
      </c>
      <c r="I56" s="338">
        <v>156.66</v>
      </c>
      <c r="J56" s="316">
        <f t="shared" ref="J56:J57" si="37">ROUND(I56*(1+$O$7),2)</f>
        <v>194.31</v>
      </c>
      <c r="K56" s="338">
        <f t="shared" si="35"/>
        <v>155.44999999999999</v>
      </c>
      <c r="L56" s="338">
        <f t="shared" si="36"/>
        <v>38.860000000000014</v>
      </c>
      <c r="M56" s="316">
        <f t="shared" ref="M56:M57" si="38">ROUND(H56*K56,2)</f>
        <v>2020.85</v>
      </c>
      <c r="N56" s="316">
        <f t="shared" ref="N56:N57" si="39">O56-M56</f>
        <v>505.18000000000029</v>
      </c>
      <c r="O56" s="350">
        <f t="shared" ref="O56:O57" si="40">ROUND(H56*J56,2)</f>
        <v>2526.0300000000002</v>
      </c>
      <c r="Q56" s="75"/>
      <c r="R56" s="75"/>
      <c r="S56" s="75"/>
    </row>
    <row r="57" spans="1:19" s="25" customFormat="1" ht="15" customHeight="1">
      <c r="A57" s="318" t="s">
        <v>29</v>
      </c>
      <c r="B57" s="331">
        <v>92826</v>
      </c>
      <c r="C57" s="67" t="s">
        <v>372</v>
      </c>
      <c r="D57" s="340"/>
      <c r="E57" s="339"/>
      <c r="F57" s="332"/>
      <c r="G57" s="331" t="s">
        <v>16</v>
      </c>
      <c r="H57" s="116">
        <f>MEMÓRIA!H180</f>
        <v>13</v>
      </c>
      <c r="I57" s="338">
        <v>95.13</v>
      </c>
      <c r="J57" s="316">
        <f t="shared" si="37"/>
        <v>117.99</v>
      </c>
      <c r="K57" s="338">
        <f t="shared" ref="K57" si="41">ROUND(J57*0.8,2)</f>
        <v>94.39</v>
      </c>
      <c r="L57" s="338">
        <f t="shared" ref="L57" si="42">J57-K57</f>
        <v>23.599999999999994</v>
      </c>
      <c r="M57" s="316">
        <f t="shared" si="38"/>
        <v>1227.07</v>
      </c>
      <c r="N57" s="316">
        <f t="shared" si="39"/>
        <v>306.79999999999995</v>
      </c>
      <c r="O57" s="350">
        <f t="shared" si="40"/>
        <v>1533.87</v>
      </c>
      <c r="Q57" s="75"/>
      <c r="R57" s="75"/>
      <c r="S57" s="75"/>
    </row>
    <row r="58" spans="1:19" s="25" customFormat="1" ht="15" customHeight="1">
      <c r="A58" s="318" t="s">
        <v>28</v>
      </c>
      <c r="B58" s="325">
        <v>93378</v>
      </c>
      <c r="C58" s="337" t="s">
        <v>23</v>
      </c>
      <c r="D58" s="340"/>
      <c r="E58" s="339"/>
      <c r="F58" s="332"/>
      <c r="G58" s="336" t="s">
        <v>91</v>
      </c>
      <c r="H58" s="116">
        <f>MEMÓRIA!H186</f>
        <v>168.250832</v>
      </c>
      <c r="I58" s="316">
        <v>18.899999999999999</v>
      </c>
      <c r="J58" s="316">
        <f t="shared" si="27"/>
        <v>23.44</v>
      </c>
      <c r="K58" s="316">
        <f t="shared" si="33"/>
        <v>18.75</v>
      </c>
      <c r="L58" s="316">
        <f t="shared" si="34"/>
        <v>4.6900000000000013</v>
      </c>
      <c r="M58" s="316">
        <f t="shared" si="28"/>
        <v>3154.7</v>
      </c>
      <c r="N58" s="316">
        <f t="shared" si="29"/>
        <v>789.10000000000036</v>
      </c>
      <c r="O58" s="350">
        <f t="shared" si="32"/>
        <v>3943.8</v>
      </c>
      <c r="Q58" s="75"/>
      <c r="R58" s="75"/>
      <c r="S58" s="75"/>
    </row>
    <row r="59" spans="1:19" ht="15" customHeight="1">
      <c r="A59" s="318" t="s">
        <v>26</v>
      </c>
      <c r="B59" s="331">
        <v>93589</v>
      </c>
      <c r="C59" s="67" t="s">
        <v>176</v>
      </c>
      <c r="D59" s="334" t="s">
        <v>2</v>
      </c>
      <c r="E59" s="333">
        <f>S3</f>
        <v>13.1</v>
      </c>
      <c r="F59" s="332" t="s">
        <v>1</v>
      </c>
      <c r="G59" s="35" t="s">
        <v>143</v>
      </c>
      <c r="H59" s="116">
        <f>MEMÓRIA!H190</f>
        <v>384.79887599999995</v>
      </c>
      <c r="I59" s="316">
        <v>1.18</v>
      </c>
      <c r="J59" s="316">
        <f t="shared" si="27"/>
        <v>1.46</v>
      </c>
      <c r="K59" s="316">
        <f>ROUND(J59*0.8,2)</f>
        <v>1.17</v>
      </c>
      <c r="L59" s="316">
        <f>J59-K59</f>
        <v>0.29000000000000004</v>
      </c>
      <c r="M59" s="316">
        <f t="shared" si="28"/>
        <v>450.21</v>
      </c>
      <c r="N59" s="316">
        <f t="shared" si="29"/>
        <v>111.59999999999997</v>
      </c>
      <c r="O59" s="350">
        <f>ROUND(H59*J59,2)</f>
        <v>561.80999999999995</v>
      </c>
    </row>
    <row r="60" spans="1:19" s="312" customFormat="1" ht="15" customHeight="1">
      <c r="A60" s="318" t="s">
        <v>25</v>
      </c>
      <c r="B60" s="562" t="s">
        <v>461</v>
      </c>
      <c r="C60" s="67" t="s">
        <v>460</v>
      </c>
      <c r="D60" s="334"/>
      <c r="E60" s="333"/>
      <c r="F60" s="332"/>
      <c r="G60" s="35" t="s">
        <v>16</v>
      </c>
      <c r="H60" s="116">
        <f>MEMÓRIA!H193</f>
        <v>918</v>
      </c>
      <c r="I60" s="316">
        <v>13.23</v>
      </c>
      <c r="J60" s="316">
        <f t="shared" ref="J60" si="43">ROUND(I60*(1+$O$7),2)</f>
        <v>16.41</v>
      </c>
      <c r="K60" s="316">
        <f>ROUND(J60*0.8,2)</f>
        <v>13.13</v>
      </c>
      <c r="L60" s="316">
        <f>J60-K60</f>
        <v>3.2799999999999994</v>
      </c>
      <c r="M60" s="316">
        <f t="shared" ref="M60" si="44">ROUND(H60*K60,2)</f>
        <v>12053.34</v>
      </c>
      <c r="N60" s="316">
        <f t="shared" ref="N60" si="45">O60-M60</f>
        <v>3011.0399999999991</v>
      </c>
      <c r="O60" s="350">
        <f>ROUND(H60*J60,2)</f>
        <v>15064.38</v>
      </c>
      <c r="Q60" s="313"/>
      <c r="R60" s="313"/>
      <c r="S60" s="313"/>
    </row>
    <row r="61" spans="1:19" s="312" customFormat="1" ht="15" customHeight="1">
      <c r="A61" s="318" t="s">
        <v>24</v>
      </c>
      <c r="B61" s="562" t="s">
        <v>463</v>
      </c>
      <c r="C61" s="67" t="s">
        <v>462</v>
      </c>
      <c r="D61" s="334"/>
      <c r="E61" s="333"/>
      <c r="F61" s="332"/>
      <c r="G61" s="35" t="s">
        <v>16</v>
      </c>
      <c r="H61" s="116">
        <f>MEMÓRIA!H196</f>
        <v>734</v>
      </c>
      <c r="I61" s="316">
        <v>43.08</v>
      </c>
      <c r="J61" s="316">
        <f t="shared" ref="J61" si="46">ROUND(I61*(1+$O$7),2)</f>
        <v>53.43</v>
      </c>
      <c r="K61" s="316">
        <f>ROUND(J61*0.8,2)</f>
        <v>42.74</v>
      </c>
      <c r="L61" s="316">
        <f>J61-K61</f>
        <v>10.689999999999998</v>
      </c>
      <c r="M61" s="316">
        <f t="shared" ref="M61" si="47">ROUND(H61*K61,2)</f>
        <v>31371.16</v>
      </c>
      <c r="N61" s="316">
        <f t="shared" ref="N61" si="48">O61-M61</f>
        <v>7846.4600000000028</v>
      </c>
      <c r="O61" s="350">
        <f>ROUND(H61*J61,2)</f>
        <v>39217.620000000003</v>
      </c>
      <c r="Q61" s="313"/>
      <c r="R61" s="313"/>
      <c r="S61" s="313"/>
    </row>
    <row r="62" spans="1:19" s="312" customFormat="1" ht="15" customHeight="1">
      <c r="A62" s="318" t="s">
        <v>22</v>
      </c>
      <c r="B62" s="562" t="s">
        <v>465</v>
      </c>
      <c r="C62" s="67" t="s">
        <v>464</v>
      </c>
      <c r="D62" s="334"/>
      <c r="E62" s="333"/>
      <c r="F62" s="332"/>
      <c r="G62" s="35" t="s">
        <v>16</v>
      </c>
      <c r="H62" s="116">
        <f>MEMÓRIA!H199</f>
        <v>136</v>
      </c>
      <c r="I62" s="316">
        <v>189.31</v>
      </c>
      <c r="J62" s="316">
        <f t="shared" ref="J62" si="49">ROUND(I62*(1+$O$7),2)</f>
        <v>234.8</v>
      </c>
      <c r="K62" s="316">
        <f>ROUND(J62*0.8,2)</f>
        <v>187.84</v>
      </c>
      <c r="L62" s="316">
        <f>J62-K62</f>
        <v>46.960000000000008</v>
      </c>
      <c r="M62" s="316">
        <f t="shared" ref="M62" si="50">ROUND(H62*K62,2)</f>
        <v>25546.240000000002</v>
      </c>
      <c r="N62" s="316">
        <f t="shared" ref="N62" si="51">O62-M62</f>
        <v>6386.5599999999977</v>
      </c>
      <c r="O62" s="350">
        <f>ROUND(H62*J62,2)</f>
        <v>31932.799999999999</v>
      </c>
      <c r="Q62" s="313"/>
      <c r="R62" s="313"/>
      <c r="S62" s="313"/>
    </row>
    <row r="63" spans="1:19" s="312" customFormat="1" ht="15" customHeight="1">
      <c r="A63" s="318" t="s">
        <v>21</v>
      </c>
      <c r="B63" s="562" t="s">
        <v>467</v>
      </c>
      <c r="C63" s="67" t="s">
        <v>466</v>
      </c>
      <c r="D63" s="334"/>
      <c r="E63" s="333"/>
      <c r="F63" s="332"/>
      <c r="G63" s="321" t="s">
        <v>7</v>
      </c>
      <c r="H63" s="116">
        <f>MEMÓRIA!H202</f>
        <v>12</v>
      </c>
      <c r="I63" s="316">
        <v>2937.03</v>
      </c>
      <c r="J63" s="316">
        <f t="shared" ref="J63" si="52">ROUND(I63*(1+$O$7),2)</f>
        <v>3642.8</v>
      </c>
      <c r="K63" s="316">
        <f>ROUND(J63*0.8,2)</f>
        <v>2914.24</v>
      </c>
      <c r="L63" s="316">
        <f>J63-K63</f>
        <v>728.5600000000004</v>
      </c>
      <c r="M63" s="316">
        <f t="shared" ref="M63" si="53">ROUND(H63*K63,2)</f>
        <v>34970.879999999997</v>
      </c>
      <c r="N63" s="316">
        <f t="shared" ref="N63" si="54">O63-M63</f>
        <v>8742.7200000000012</v>
      </c>
      <c r="O63" s="350">
        <f>ROUND(H63*J63,2)</f>
        <v>43713.599999999999</v>
      </c>
      <c r="Q63" s="313"/>
      <c r="R63" s="313"/>
      <c r="S63" s="313"/>
    </row>
    <row r="64" spans="1:19" s="25" customFormat="1" ht="15" customHeight="1">
      <c r="A64" s="318" t="s">
        <v>20</v>
      </c>
      <c r="B64" s="307" t="s">
        <v>224</v>
      </c>
      <c r="C64" s="330" t="s">
        <v>223</v>
      </c>
      <c r="D64" s="340"/>
      <c r="E64" s="590"/>
      <c r="F64" s="329"/>
      <c r="G64" s="321" t="s">
        <v>7</v>
      </c>
      <c r="H64" s="142">
        <f>MEMÓRIA!H205</f>
        <v>5</v>
      </c>
      <c r="I64" s="316">
        <v>961.14</v>
      </c>
      <c r="J64" s="316">
        <f t="shared" ref="J64:J65" si="55">ROUND(I64*(1+$O$7),2)</f>
        <v>1192.0999999999999</v>
      </c>
      <c r="K64" s="316">
        <f t="shared" ref="K64:K65" si="56">ROUND(J64*0.8,2)</f>
        <v>953.68</v>
      </c>
      <c r="L64" s="316">
        <f t="shared" ref="L64:L65" si="57">J64-K64</f>
        <v>238.41999999999996</v>
      </c>
      <c r="M64" s="316">
        <f t="shared" ref="M64:M65" si="58">ROUND(H64*K64,2)</f>
        <v>4768.3999999999996</v>
      </c>
      <c r="N64" s="316">
        <f t="shared" ref="N64:N65" si="59">O64-M64</f>
        <v>1192.1000000000004</v>
      </c>
      <c r="O64" s="350">
        <f t="shared" ref="O64:O65" si="60">ROUND(H64*J64,2)</f>
        <v>5960.5</v>
      </c>
      <c r="P64" s="74"/>
      <c r="Q64" s="75"/>
      <c r="R64" s="75"/>
    </row>
    <row r="65" spans="1:19" s="25" customFormat="1" ht="15" customHeight="1" thickBot="1">
      <c r="A65" s="318" t="s">
        <v>19</v>
      </c>
      <c r="B65" s="307" t="s">
        <v>385</v>
      </c>
      <c r="C65" s="330" t="s">
        <v>370</v>
      </c>
      <c r="D65" s="340"/>
      <c r="E65" s="590"/>
      <c r="F65" s="329"/>
      <c r="G65" s="321" t="s">
        <v>7</v>
      </c>
      <c r="H65" s="142">
        <f>MEMÓRIA!H208</f>
        <v>2</v>
      </c>
      <c r="I65" s="316">
        <v>1438.07</v>
      </c>
      <c r="J65" s="316">
        <f t="shared" si="55"/>
        <v>1783.64</v>
      </c>
      <c r="K65" s="316">
        <f t="shared" si="56"/>
        <v>1426.91</v>
      </c>
      <c r="L65" s="316">
        <f t="shared" si="57"/>
        <v>356.73</v>
      </c>
      <c r="M65" s="316">
        <f t="shared" si="58"/>
        <v>2853.82</v>
      </c>
      <c r="N65" s="316">
        <f t="shared" si="59"/>
        <v>713.46</v>
      </c>
      <c r="O65" s="350">
        <f t="shared" si="60"/>
        <v>3567.28</v>
      </c>
      <c r="P65" s="74"/>
      <c r="Q65" s="75"/>
      <c r="R65" s="75"/>
    </row>
    <row r="66" spans="1:19" s="25" customFormat="1" ht="15" customHeight="1" thickBot="1">
      <c r="A66" s="830" t="s">
        <v>18</v>
      </c>
      <c r="B66" s="831"/>
      <c r="C66" s="831"/>
      <c r="D66" s="831"/>
      <c r="E66" s="831"/>
      <c r="F66" s="831"/>
      <c r="G66" s="831"/>
      <c r="H66" s="831"/>
      <c r="I66" s="831"/>
      <c r="J66" s="831"/>
      <c r="K66" s="831"/>
      <c r="L66" s="831"/>
      <c r="M66" s="232">
        <f>SUM(M50:M65)</f>
        <v>137311.35</v>
      </c>
      <c r="N66" s="232">
        <f>SUM(N50:N65)</f>
        <v>34325.379999999997</v>
      </c>
      <c r="O66" s="46">
        <f>SUM(O50:O65)</f>
        <v>171636.73</v>
      </c>
      <c r="Q66" s="75"/>
      <c r="R66" s="75"/>
      <c r="S66" s="75"/>
    </row>
    <row r="67" spans="1:19" ht="15" customHeight="1" thickBot="1">
      <c r="A67" s="15" t="s">
        <v>80</v>
      </c>
      <c r="B67" s="14"/>
      <c r="C67" s="13" t="s">
        <v>12</v>
      </c>
      <c r="D67" s="13"/>
      <c r="E67" s="133"/>
      <c r="F67" s="13"/>
      <c r="G67" s="12"/>
      <c r="H67" s="12"/>
      <c r="I67" s="11"/>
      <c r="J67" s="11"/>
      <c r="K67" s="11"/>
      <c r="L67" s="11"/>
      <c r="M67" s="11"/>
      <c r="N67" s="11"/>
      <c r="O67" s="10"/>
    </row>
    <row r="68" spans="1:19" ht="15" customHeight="1">
      <c r="A68" s="53" t="s">
        <v>17</v>
      </c>
      <c r="B68" s="69">
        <v>72947</v>
      </c>
      <c r="C68" s="71" t="s">
        <v>113</v>
      </c>
      <c r="D68" s="601"/>
      <c r="E68" s="602"/>
      <c r="F68" s="9"/>
      <c r="G68" s="54" t="s">
        <v>90</v>
      </c>
      <c r="H68" s="118">
        <f>MEMÓRIA!H218</f>
        <v>322.32</v>
      </c>
      <c r="I68" s="8">
        <v>25.82</v>
      </c>
      <c r="J68" s="8">
        <f>ROUND(I68*(1+$O$7),2)</f>
        <v>32.020000000000003</v>
      </c>
      <c r="K68" s="68">
        <f>ROUND(J68*0.8,2)</f>
        <v>25.62</v>
      </c>
      <c r="L68" s="68">
        <f>J68-K68</f>
        <v>6.4000000000000021</v>
      </c>
      <c r="M68" s="7">
        <f>ROUND(H68*K68,2)</f>
        <v>8257.84</v>
      </c>
      <c r="N68" s="7">
        <f>O68-M68</f>
        <v>2062.8500000000004</v>
      </c>
      <c r="O68" s="146">
        <f>ROUND(H68*J68,2)</f>
        <v>10320.69</v>
      </c>
    </row>
    <row r="69" spans="1:19" ht="15" customHeight="1">
      <c r="A69" s="322" t="s">
        <v>15</v>
      </c>
      <c r="B69" s="27">
        <v>34723</v>
      </c>
      <c r="C69" s="374" t="s">
        <v>386</v>
      </c>
      <c r="D69" s="603"/>
      <c r="E69" s="604"/>
      <c r="F69" s="143"/>
      <c r="G69" s="34" t="s">
        <v>90</v>
      </c>
      <c r="H69" s="119">
        <f>MEMÓRIA!H232</f>
        <v>4.2098499999999994</v>
      </c>
      <c r="I69" s="7">
        <v>396.6</v>
      </c>
      <c r="J69" s="7">
        <f>ROUND(I69*(1+$O$7),2)</f>
        <v>491.9</v>
      </c>
      <c r="K69" s="68">
        <f t="shared" ref="K69:K71" si="61">ROUND(J69*0.8,2)</f>
        <v>393.52</v>
      </c>
      <c r="L69" s="68">
        <f t="shared" ref="L69:L71" si="62">J69-K69</f>
        <v>98.38</v>
      </c>
      <c r="M69" s="7">
        <f t="shared" ref="M69:M71" si="63">ROUND(H69*K69,2)</f>
        <v>1656.66</v>
      </c>
      <c r="N69" s="7">
        <f t="shared" ref="N69:N71" si="64">O69-M69</f>
        <v>414.16999999999985</v>
      </c>
      <c r="O69" s="146">
        <f t="shared" ref="O69:O71" si="65">ROUND(H69*J69,2)</f>
        <v>2070.83</v>
      </c>
    </row>
    <row r="70" spans="1:19" s="312" customFormat="1" ht="15" customHeight="1">
      <c r="A70" s="322" t="s">
        <v>14</v>
      </c>
      <c r="B70" s="70">
        <v>92335</v>
      </c>
      <c r="C70" s="374" t="s">
        <v>420</v>
      </c>
      <c r="D70" s="24"/>
      <c r="E70" s="132"/>
      <c r="F70" s="24"/>
      <c r="G70" s="23" t="s">
        <v>16</v>
      </c>
      <c r="H70" s="317">
        <f>MEMÓRIA!H236</f>
        <v>72</v>
      </c>
      <c r="I70" s="316">
        <v>57.07</v>
      </c>
      <c r="J70" s="316">
        <f>ROUND(I70*(1+$O$7),2)</f>
        <v>70.78</v>
      </c>
      <c r="K70" s="68">
        <f t="shared" ref="K70" si="66">ROUND(J70*0.8,2)</f>
        <v>56.62</v>
      </c>
      <c r="L70" s="68">
        <f t="shared" ref="L70" si="67">J70-K70</f>
        <v>14.160000000000004</v>
      </c>
      <c r="M70" s="316">
        <f t="shared" ref="M70" si="68">ROUND(H70*K70,2)</f>
        <v>4076.64</v>
      </c>
      <c r="N70" s="316">
        <f t="shared" ref="N70" si="69">O70-M70</f>
        <v>1019.52</v>
      </c>
      <c r="O70" s="146">
        <f t="shared" ref="O70" si="70">ROUND(H70*J70,2)</f>
        <v>5096.16</v>
      </c>
      <c r="Q70" s="313"/>
      <c r="R70" s="313"/>
      <c r="S70" s="313"/>
    </row>
    <row r="71" spans="1:19" ht="15" customHeight="1" thickBot="1">
      <c r="A71" s="322" t="s">
        <v>13</v>
      </c>
      <c r="B71" s="600" t="s">
        <v>540</v>
      </c>
      <c r="C71" s="374" t="s">
        <v>539</v>
      </c>
      <c r="D71" s="24"/>
      <c r="E71" s="132"/>
      <c r="F71" s="24"/>
      <c r="G71" s="321" t="s">
        <v>7</v>
      </c>
      <c r="H71" s="119">
        <f>MEMÓRIA!H242</f>
        <v>333</v>
      </c>
      <c r="I71" s="7">
        <v>17.22</v>
      </c>
      <c r="J71" s="7">
        <f>ROUND(I71*(1+$O$7),2)</f>
        <v>21.36</v>
      </c>
      <c r="K71" s="68">
        <f t="shared" si="61"/>
        <v>17.09</v>
      </c>
      <c r="L71" s="68">
        <f t="shared" si="62"/>
        <v>4.2699999999999996</v>
      </c>
      <c r="M71" s="7">
        <f t="shared" si="63"/>
        <v>5690.97</v>
      </c>
      <c r="N71" s="7">
        <f t="shared" si="64"/>
        <v>1421.9099999999999</v>
      </c>
      <c r="O71" s="146">
        <f t="shared" si="65"/>
        <v>7112.88</v>
      </c>
    </row>
    <row r="72" spans="1:19" ht="15" customHeight="1" thickBot="1">
      <c r="A72" s="830" t="s">
        <v>550</v>
      </c>
      <c r="B72" s="831"/>
      <c r="C72" s="831"/>
      <c r="D72" s="831"/>
      <c r="E72" s="831"/>
      <c r="F72" s="831"/>
      <c r="G72" s="831"/>
      <c r="H72" s="831"/>
      <c r="I72" s="831"/>
      <c r="J72" s="831"/>
      <c r="K72" s="831"/>
      <c r="L72" s="832"/>
      <c r="M72" s="40">
        <f>SUM(M68:M71)</f>
        <v>19682.11</v>
      </c>
      <c r="N72" s="40">
        <f>SUM(N68:N71)</f>
        <v>4918.4500000000007</v>
      </c>
      <c r="O72" s="46">
        <f>SUM(O68:O71)</f>
        <v>24600.560000000001</v>
      </c>
    </row>
    <row r="73" spans="1:19" ht="15" customHeight="1" thickBot="1">
      <c r="A73" s="15" t="s">
        <v>81</v>
      </c>
      <c r="B73" s="14"/>
      <c r="C73" s="13" t="s">
        <v>214</v>
      </c>
      <c r="D73" s="13"/>
      <c r="E73" s="133"/>
      <c r="F73" s="13"/>
      <c r="G73" s="12"/>
      <c r="H73" s="12"/>
      <c r="I73" s="11"/>
      <c r="J73" s="11"/>
      <c r="K73" s="11"/>
      <c r="L73" s="11"/>
      <c r="M73" s="11"/>
      <c r="N73" s="11"/>
      <c r="O73" s="10"/>
    </row>
    <row r="74" spans="1:19" ht="15" customHeight="1">
      <c r="A74" s="147" t="s">
        <v>11</v>
      </c>
      <c r="B74" s="148" t="s">
        <v>457</v>
      </c>
      <c r="C74" s="72" t="s">
        <v>217</v>
      </c>
      <c r="D74" s="73"/>
      <c r="E74" s="134"/>
      <c r="F74" s="73"/>
      <c r="G74" s="148" t="s">
        <v>138</v>
      </c>
      <c r="H74" s="120">
        <f>MEMÓRIA!H246</f>
        <v>1</v>
      </c>
      <c r="I74" s="39">
        <f>COMP2!K37</f>
        <v>4453.5730000000003</v>
      </c>
      <c r="J74" s="39">
        <f>ROUND(I74*(1+$O$7),2)</f>
        <v>5523.77</v>
      </c>
      <c r="K74" s="39">
        <f>ROUND(J74*1,2)</f>
        <v>5523.77</v>
      </c>
      <c r="L74" s="39">
        <v>0</v>
      </c>
      <c r="M74" s="7">
        <f>ROUND(H74*K74,2)</f>
        <v>5523.77</v>
      </c>
      <c r="N74" s="7">
        <f>O74-M74</f>
        <v>0</v>
      </c>
      <c r="O74" s="146">
        <f>ROUND(H74*J74,2)</f>
        <v>5523.77</v>
      </c>
    </row>
    <row r="75" spans="1:19" s="22" customFormat="1" ht="15" customHeight="1">
      <c r="A75" s="322" t="s">
        <v>10</v>
      </c>
      <c r="B75" s="321">
        <v>78472</v>
      </c>
      <c r="C75" s="128" t="s">
        <v>142</v>
      </c>
      <c r="D75" s="319"/>
      <c r="E75" s="320"/>
      <c r="F75" s="319"/>
      <c r="G75" s="318" t="s">
        <v>90</v>
      </c>
      <c r="H75" s="317">
        <f>MEMÓRIA!H249</f>
        <v>7235.3</v>
      </c>
      <c r="I75" s="316">
        <v>0.41</v>
      </c>
      <c r="J75" s="316">
        <f>ROUND(I75*(1+$O$7),2)</f>
        <v>0.51</v>
      </c>
      <c r="K75" s="316">
        <f t="shared" ref="K75" si="71">ROUND(J75*0.8,2)</f>
        <v>0.41</v>
      </c>
      <c r="L75" s="316">
        <f>J75-K75</f>
        <v>0.10000000000000003</v>
      </c>
      <c r="M75" s="316">
        <f t="shared" ref="M75" si="72">ROUND(H75*K75,2)</f>
        <v>2966.47</v>
      </c>
      <c r="N75" s="316">
        <f t="shared" ref="N75" si="73">O75-M75</f>
        <v>723.5300000000002</v>
      </c>
      <c r="O75" s="350">
        <f t="shared" ref="O75" si="74">ROUND(H75*J75,2)</f>
        <v>3690</v>
      </c>
      <c r="Q75" s="313"/>
      <c r="R75" s="313"/>
      <c r="S75" s="313"/>
    </row>
    <row r="76" spans="1:19" ht="15" customHeight="1">
      <c r="A76" s="322" t="s">
        <v>9</v>
      </c>
      <c r="B76" s="318" t="s">
        <v>591</v>
      </c>
      <c r="C76" s="153" t="s">
        <v>593</v>
      </c>
      <c r="D76" s="150"/>
      <c r="E76" s="151"/>
      <c r="F76" s="150"/>
      <c r="G76" s="318" t="s">
        <v>90</v>
      </c>
      <c r="H76" s="152">
        <f>H36</f>
        <v>8045.3</v>
      </c>
      <c r="I76" s="7">
        <v>0.98</v>
      </c>
      <c r="J76" s="7">
        <f t="shared" ref="J76" si="75">TRUNC(I76*(1+$O$7),2)</f>
        <v>1.21</v>
      </c>
      <c r="K76" s="7">
        <f t="shared" ref="K76" si="76">ROUND(J76*0.8,2)</f>
        <v>0.97</v>
      </c>
      <c r="L76" s="7">
        <f t="shared" ref="L76" si="77">J76-K76</f>
        <v>0.24</v>
      </c>
      <c r="M76" s="7">
        <f t="shared" ref="M76:M83" si="78">ROUND(H76*K76,2)</f>
        <v>7803.94</v>
      </c>
      <c r="N76" s="7">
        <f t="shared" ref="N76:N83" si="79">O76-M76</f>
        <v>1930.87</v>
      </c>
      <c r="O76" s="146">
        <f t="shared" ref="O76:O83" si="80">ROUND(H76*J76,2)</f>
        <v>9734.81</v>
      </c>
      <c r="Q76" s="1"/>
      <c r="R76" s="1"/>
      <c r="S76" s="1"/>
    </row>
    <row r="77" spans="1:19" ht="15" customHeight="1">
      <c r="A77" s="322" t="s">
        <v>116</v>
      </c>
      <c r="B77" s="318" t="s">
        <v>592</v>
      </c>
      <c r="C77" s="434" t="s">
        <v>639</v>
      </c>
      <c r="D77" s="319"/>
      <c r="E77" s="435"/>
      <c r="F77" s="319"/>
      <c r="G77" s="336" t="s">
        <v>91</v>
      </c>
      <c r="H77" s="323">
        <f>H40</f>
        <v>2674.2019999999998</v>
      </c>
      <c r="I77" s="316">
        <v>1.92</v>
      </c>
      <c r="J77" s="316">
        <f t="shared" ref="J77" si="81">TRUNC(I77*(1+$O$7),2)</f>
        <v>2.38</v>
      </c>
      <c r="K77" s="316">
        <f t="shared" ref="K77" si="82">ROUND(J77*0.8,2)</f>
        <v>1.9</v>
      </c>
      <c r="L77" s="316">
        <f t="shared" ref="L77" si="83">J77-K77</f>
        <v>0.48</v>
      </c>
      <c r="M77" s="316">
        <f t="shared" si="78"/>
        <v>5080.9799999999996</v>
      </c>
      <c r="N77" s="316">
        <f t="shared" si="79"/>
        <v>1283.6200000000008</v>
      </c>
      <c r="O77" s="350">
        <f t="shared" si="80"/>
        <v>6364.6</v>
      </c>
      <c r="Q77" s="1"/>
      <c r="R77" s="1"/>
      <c r="S77" s="1"/>
    </row>
    <row r="78" spans="1:19" ht="15" customHeight="1">
      <c r="A78" s="322" t="s">
        <v>117</v>
      </c>
      <c r="B78" s="318"/>
      <c r="C78" s="434" t="s">
        <v>599</v>
      </c>
      <c r="D78" s="319"/>
      <c r="E78" s="435"/>
      <c r="F78" s="319"/>
      <c r="G78" s="318"/>
      <c r="H78" s="323"/>
      <c r="I78" s="316"/>
      <c r="J78" s="316"/>
      <c r="K78" s="316"/>
      <c r="L78" s="316"/>
      <c r="M78" s="316"/>
      <c r="N78" s="316"/>
      <c r="O78" s="350"/>
      <c r="Q78" s="1"/>
      <c r="R78" s="1"/>
      <c r="S78" s="1"/>
    </row>
    <row r="79" spans="1:19" ht="15" customHeight="1">
      <c r="A79" s="322" t="s">
        <v>416</v>
      </c>
      <c r="B79" s="318" t="s">
        <v>594</v>
      </c>
      <c r="C79" s="434" t="s">
        <v>600</v>
      </c>
      <c r="D79" s="319"/>
      <c r="E79" s="435"/>
      <c r="F79" s="319"/>
      <c r="G79" s="318" t="s">
        <v>138</v>
      </c>
      <c r="H79" s="323">
        <v>9</v>
      </c>
      <c r="I79" s="316">
        <v>181.04</v>
      </c>
      <c r="J79" s="316">
        <f t="shared" ref="J79" si="84">TRUNC(I79*(1+$O$7),2)</f>
        <v>224.54</v>
      </c>
      <c r="K79" s="316">
        <f t="shared" ref="K79" si="85">ROUND(J79*0.8,2)</f>
        <v>179.63</v>
      </c>
      <c r="L79" s="316">
        <f t="shared" ref="L79" si="86">J79-K79</f>
        <v>44.91</v>
      </c>
      <c r="M79" s="316">
        <f t="shared" si="78"/>
        <v>1616.67</v>
      </c>
      <c r="N79" s="316">
        <f t="shared" si="79"/>
        <v>404.18999999999983</v>
      </c>
      <c r="O79" s="350">
        <f t="shared" si="80"/>
        <v>2020.86</v>
      </c>
      <c r="Q79" s="1"/>
      <c r="R79" s="1"/>
      <c r="S79" s="1"/>
    </row>
    <row r="80" spans="1:19" ht="15" customHeight="1">
      <c r="A80" s="322" t="s">
        <v>414</v>
      </c>
      <c r="B80" s="318"/>
      <c r="C80" s="434" t="s">
        <v>225</v>
      </c>
      <c r="D80" s="319"/>
      <c r="E80" s="435"/>
      <c r="F80" s="319"/>
      <c r="G80" s="318"/>
      <c r="H80" s="436"/>
      <c r="I80" s="316"/>
      <c r="J80" s="316"/>
      <c r="K80" s="316"/>
      <c r="L80" s="316"/>
      <c r="M80" s="316"/>
      <c r="N80" s="316"/>
      <c r="O80" s="350"/>
      <c r="Q80" s="1"/>
      <c r="R80" s="1"/>
      <c r="S80" s="1"/>
    </row>
    <row r="81" spans="1:19" ht="15" customHeight="1">
      <c r="A81" s="322" t="s">
        <v>551</v>
      </c>
      <c r="B81" s="318" t="s">
        <v>597</v>
      </c>
      <c r="C81" s="434" t="s">
        <v>595</v>
      </c>
      <c r="D81" s="319"/>
      <c r="E81" s="435"/>
      <c r="F81" s="319"/>
      <c r="G81" s="318" t="s">
        <v>138</v>
      </c>
      <c r="H81" s="436">
        <v>9</v>
      </c>
      <c r="I81" s="316">
        <v>63.36</v>
      </c>
      <c r="J81" s="316">
        <f t="shared" ref="J81:J83" si="87">TRUNC(I81*(1+$O$7),2)</f>
        <v>78.58</v>
      </c>
      <c r="K81" s="316">
        <f t="shared" ref="K81" si="88">ROUND(J81*0.8,2)</f>
        <v>62.86</v>
      </c>
      <c r="L81" s="316">
        <f t="shared" ref="L81" si="89">J81-K81</f>
        <v>15.719999999999999</v>
      </c>
      <c r="M81" s="316">
        <f t="shared" si="78"/>
        <v>565.74</v>
      </c>
      <c r="N81" s="316">
        <f t="shared" si="79"/>
        <v>141.48000000000002</v>
      </c>
      <c r="O81" s="350">
        <f t="shared" si="80"/>
        <v>707.22</v>
      </c>
      <c r="Q81" s="1"/>
      <c r="R81" s="1"/>
      <c r="S81" s="1"/>
    </row>
    <row r="82" spans="1:19" ht="15" customHeight="1">
      <c r="A82" s="322" t="s">
        <v>552</v>
      </c>
      <c r="B82" s="318" t="s">
        <v>216</v>
      </c>
      <c r="C82" s="447" t="s">
        <v>596</v>
      </c>
      <c r="D82" s="319"/>
      <c r="E82" s="435"/>
      <c r="F82" s="319"/>
      <c r="G82" s="318" t="s">
        <v>138</v>
      </c>
      <c r="H82" s="436">
        <v>9</v>
      </c>
      <c r="I82" s="316">
        <v>144.83000000000001</v>
      </c>
      <c r="J82" s="316">
        <f t="shared" si="87"/>
        <v>179.63</v>
      </c>
      <c r="K82" s="316">
        <f t="shared" ref="K82:K83" si="90">ROUND(J82*0.8,2)</f>
        <v>143.69999999999999</v>
      </c>
      <c r="L82" s="316">
        <f t="shared" ref="L82:L83" si="91">J82-K82</f>
        <v>35.930000000000007</v>
      </c>
      <c r="M82" s="316">
        <f t="shared" si="78"/>
        <v>1293.3</v>
      </c>
      <c r="N82" s="316">
        <f t="shared" si="79"/>
        <v>323.37000000000012</v>
      </c>
      <c r="O82" s="350">
        <f t="shared" si="80"/>
        <v>1616.67</v>
      </c>
      <c r="Q82" s="1"/>
      <c r="R82" s="1"/>
      <c r="S82" s="1"/>
    </row>
    <row r="83" spans="1:19" ht="15" customHeight="1">
      <c r="A83" s="322" t="s">
        <v>553</v>
      </c>
      <c r="B83" s="318" t="s">
        <v>226</v>
      </c>
      <c r="C83" s="434" t="s">
        <v>598</v>
      </c>
      <c r="D83" s="319"/>
      <c r="E83" s="435"/>
      <c r="F83" s="319"/>
      <c r="G83" s="318" t="s">
        <v>138</v>
      </c>
      <c r="H83" s="436">
        <v>9</v>
      </c>
      <c r="I83" s="316">
        <v>90.52</v>
      </c>
      <c r="J83" s="316">
        <f t="shared" si="87"/>
        <v>112.27</v>
      </c>
      <c r="K83" s="316">
        <f t="shared" si="90"/>
        <v>89.82</v>
      </c>
      <c r="L83" s="316">
        <f t="shared" si="91"/>
        <v>22.450000000000003</v>
      </c>
      <c r="M83" s="316">
        <f t="shared" si="78"/>
        <v>808.38</v>
      </c>
      <c r="N83" s="316">
        <f t="shared" si="79"/>
        <v>202.04999999999995</v>
      </c>
      <c r="O83" s="350">
        <f t="shared" si="80"/>
        <v>1010.43</v>
      </c>
      <c r="Q83" s="1"/>
      <c r="R83" s="1"/>
      <c r="S83" s="1"/>
    </row>
    <row r="84" spans="1:19" s="312" customFormat="1" ht="15" customHeight="1" thickBot="1">
      <c r="A84" s="437" t="s">
        <v>417</v>
      </c>
      <c r="B84" s="438" t="s">
        <v>456</v>
      </c>
      <c r="C84" s="439" t="s">
        <v>415</v>
      </c>
      <c r="D84" s="440"/>
      <c r="E84" s="441"/>
      <c r="F84" s="440"/>
      <c r="G84" s="438" t="s">
        <v>231</v>
      </c>
      <c r="H84" s="442">
        <v>100</v>
      </c>
      <c r="I84" s="443">
        <f>COMP3!K16</f>
        <v>137.1232</v>
      </c>
      <c r="J84" s="302">
        <f>ROUND(I84*(1+$O$7),2)</f>
        <v>170.07</v>
      </c>
      <c r="K84" s="443">
        <f>ROUND(J84*0,2)</f>
        <v>0</v>
      </c>
      <c r="L84" s="443">
        <f>J84-K84</f>
        <v>170.07</v>
      </c>
      <c r="M84" s="443">
        <f>ROUND(H84*K84,2)</f>
        <v>0</v>
      </c>
      <c r="N84" s="444">
        <f>O84-M84</f>
        <v>17007</v>
      </c>
      <c r="O84" s="445">
        <f>TRUNC(H84*J84,2)</f>
        <v>17007</v>
      </c>
      <c r="Q84" s="446"/>
    </row>
    <row r="85" spans="1:19" ht="12.95" customHeight="1" thickBot="1">
      <c r="A85" s="830" t="s">
        <v>112</v>
      </c>
      <c r="B85" s="831"/>
      <c r="C85" s="831"/>
      <c r="D85" s="831"/>
      <c r="E85" s="831"/>
      <c r="F85" s="831"/>
      <c r="G85" s="831"/>
      <c r="H85" s="831"/>
      <c r="I85" s="831"/>
      <c r="J85" s="831"/>
      <c r="K85" s="831"/>
      <c r="L85" s="832"/>
      <c r="M85" s="40">
        <f>SUM(M74:M84)</f>
        <v>25659.250000000004</v>
      </c>
      <c r="N85" s="40">
        <f>SUM(N74:N84)</f>
        <v>22016.11</v>
      </c>
      <c r="O85" s="46">
        <f>SUM(O74:O84)</f>
        <v>47675.360000000001</v>
      </c>
      <c r="R85" s="328">
        <f>O87*0.05</f>
        <v>75125.342999999993</v>
      </c>
    </row>
    <row r="86" spans="1:19" ht="15" customHeight="1">
      <c r="A86" s="6"/>
      <c r="B86" s="5"/>
      <c r="C86" s="4"/>
      <c r="D86" s="4"/>
      <c r="E86" s="135"/>
      <c r="F86" s="4"/>
      <c r="G86" s="4"/>
      <c r="H86" s="4"/>
      <c r="I86" s="4"/>
      <c r="J86" s="4"/>
      <c r="K86" s="4"/>
      <c r="L86" s="4"/>
      <c r="M86" s="4"/>
      <c r="N86" s="4"/>
      <c r="O86" s="3"/>
    </row>
    <row r="87" spans="1:19" ht="25.5" customHeight="1" thickBot="1">
      <c r="A87" s="833" t="s">
        <v>0</v>
      </c>
      <c r="B87" s="834"/>
      <c r="C87" s="834"/>
      <c r="D87" s="834"/>
      <c r="E87" s="834"/>
      <c r="F87" s="834"/>
      <c r="G87" s="834"/>
      <c r="H87" s="834"/>
      <c r="I87" s="834"/>
      <c r="J87" s="834"/>
      <c r="K87" s="834"/>
      <c r="L87" s="834"/>
      <c r="M87" s="559">
        <f>M34+M48+M66+M72+M85</f>
        <v>1189665.53</v>
      </c>
      <c r="N87" s="559">
        <f>N34+N48+N66+N72+N85</f>
        <v>312841.32999999996</v>
      </c>
      <c r="O87" s="559">
        <f>O34+O48+O66+O72+O85</f>
        <v>1502506.8599999999</v>
      </c>
      <c r="R87" s="328">
        <f>O87/(C7*C8)</f>
        <v>208.68150833333331</v>
      </c>
    </row>
    <row r="88" spans="1:19" ht="15" customHeight="1">
      <c r="A88" s="63" t="s">
        <v>140</v>
      </c>
      <c r="B88" s="56"/>
      <c r="C88" s="57"/>
      <c r="D88" s="57"/>
      <c r="E88" s="136"/>
      <c r="F88" s="57"/>
      <c r="G88" s="57"/>
      <c r="H88" s="57"/>
      <c r="I88" s="57"/>
      <c r="J88" s="57"/>
      <c r="K88" s="57"/>
      <c r="L88" s="57"/>
      <c r="M88" s="57"/>
      <c r="N88" s="57"/>
      <c r="O88" s="58"/>
    </row>
    <row r="89" spans="1:19" s="22" customFormat="1" ht="15" customHeight="1">
      <c r="A89" s="55" t="s">
        <v>141</v>
      </c>
      <c r="B89" s="49"/>
      <c r="C89" s="49"/>
      <c r="D89" s="64"/>
      <c r="E89" s="137"/>
      <c r="F89" s="64"/>
      <c r="G89" s="50"/>
      <c r="H89" s="50"/>
      <c r="I89" s="64"/>
      <c r="J89" s="59"/>
      <c r="K89" s="59"/>
      <c r="L89" s="59"/>
      <c r="M89" s="59"/>
      <c r="N89" s="59"/>
      <c r="O89" s="60"/>
      <c r="Q89" s="75"/>
      <c r="R89" s="75"/>
      <c r="S89" s="75"/>
    </row>
    <row r="90" spans="1:19" ht="15" customHeight="1">
      <c r="A90" s="55" t="s">
        <v>255</v>
      </c>
      <c r="B90" s="49"/>
      <c r="C90" s="49"/>
      <c r="D90" s="49"/>
      <c r="E90" s="138"/>
      <c r="F90" s="49"/>
      <c r="G90" s="50"/>
      <c r="H90" s="50"/>
      <c r="I90" s="49"/>
      <c r="J90" s="59"/>
      <c r="K90" s="59"/>
      <c r="L90" s="59"/>
      <c r="M90" s="59"/>
      <c r="N90" s="59"/>
      <c r="O90" s="60"/>
    </row>
    <row r="91" spans="1:19" ht="15" customHeight="1" thickBot="1">
      <c r="A91" s="314" t="s">
        <v>601</v>
      </c>
      <c r="B91" s="65"/>
      <c r="C91" s="65"/>
      <c r="D91" s="65"/>
      <c r="E91" s="139"/>
      <c r="F91" s="65"/>
      <c r="G91" s="66"/>
      <c r="H91" s="66"/>
      <c r="I91" s="65"/>
      <c r="J91" s="61"/>
      <c r="K91" s="61"/>
      <c r="L91" s="61"/>
      <c r="M91" s="61"/>
      <c r="N91" s="61"/>
      <c r="O91" s="62"/>
    </row>
    <row r="92" spans="1:19">
      <c r="A92" s="1"/>
      <c r="B92" s="1"/>
      <c r="E92" s="140"/>
    </row>
    <row r="93" spans="1:19">
      <c r="A93" s="1"/>
      <c r="B93" s="1"/>
      <c r="E93" s="140"/>
    </row>
    <row r="94" spans="1:19">
      <c r="A94" s="1"/>
      <c r="B94" s="1"/>
      <c r="E94" s="140"/>
    </row>
    <row r="95" spans="1:19">
      <c r="A95" s="1"/>
      <c r="B95" s="1"/>
      <c r="E95" s="140"/>
    </row>
  </sheetData>
  <sheetProtection selectLockedCells="1" selectUnlockedCells="1"/>
  <mergeCells count="17">
    <mergeCell ref="O9:O10"/>
    <mergeCell ref="A1:O4"/>
    <mergeCell ref="A9:A10"/>
    <mergeCell ref="B9:B10"/>
    <mergeCell ref="C9:F10"/>
    <mergeCell ref="G9:G10"/>
    <mergeCell ref="H9:H10"/>
    <mergeCell ref="A85:L85"/>
    <mergeCell ref="A87:L87"/>
    <mergeCell ref="M9:N9"/>
    <mergeCell ref="A34:L34"/>
    <mergeCell ref="A48:L48"/>
    <mergeCell ref="A66:L66"/>
    <mergeCell ref="A72:L72"/>
    <mergeCell ref="I9:I10"/>
    <mergeCell ref="J9:J10"/>
    <mergeCell ref="K9:L9"/>
  </mergeCells>
  <printOptions horizontalCentered="1"/>
  <pageMargins left="0.78740157480314965" right="0.78740157480314965" top="1.1811023622047245" bottom="0.98425196850393704" header="0.51181102362204722" footer="0.11811023622047245"/>
  <pageSetup paperSize="9" scale="49" fitToHeight="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8" tint="-0.249977111117893"/>
    <pageSetUpPr fitToPage="1"/>
  </sheetPr>
  <dimension ref="A1:XEM256"/>
  <sheetViews>
    <sheetView tabSelected="1" zoomScale="90" zoomScaleNormal="90" workbookViewId="0">
      <selection activeCell="O94" sqref="O94"/>
    </sheetView>
  </sheetViews>
  <sheetFormatPr defaultRowHeight="12.75"/>
  <cols>
    <col min="1" max="1" width="10" style="48" customWidth="1"/>
    <col min="2" max="2" width="26.140625" style="48" customWidth="1"/>
    <col min="3" max="3" width="16.42578125" style="48" customWidth="1"/>
    <col min="4" max="4" width="15.28515625" style="48" customWidth="1"/>
    <col min="5" max="5" width="16.7109375" style="48" customWidth="1"/>
    <col min="6" max="6" width="18.140625" style="48" customWidth="1"/>
    <col min="7" max="7" width="16.7109375" style="48" customWidth="1"/>
    <col min="8" max="8" width="15.28515625" style="51" customWidth="1"/>
    <col min="9" max="9" width="8.85546875" style="48" bestFit="1" customWidth="1"/>
    <col min="10" max="10" width="38.28515625" style="52" customWidth="1"/>
    <col min="11" max="12" width="9.140625" style="48"/>
    <col min="13" max="13" width="10.42578125" style="48" bestFit="1" customWidth="1"/>
    <col min="14" max="239" width="9.140625" style="48"/>
    <col min="240" max="240" width="7.42578125" style="48" bestFit="1" customWidth="1"/>
    <col min="241" max="241" width="18.5703125" style="48" customWidth="1"/>
    <col min="242" max="245" width="15.28515625" style="48" customWidth="1"/>
    <col min="246" max="246" width="16.28515625" style="48" customWidth="1"/>
    <col min="247" max="247" width="15.28515625" style="48" customWidth="1"/>
    <col min="248" max="248" width="6.5703125" style="48" customWidth="1"/>
    <col min="249" max="249" width="27" style="48" customWidth="1"/>
    <col min="250" max="250" width="17" style="48" bestFit="1" customWidth="1"/>
    <col min="251" max="252" width="8.140625" style="48" customWidth="1"/>
    <col min="253" max="253" width="9.85546875" style="48" customWidth="1"/>
    <col min="254" max="254" width="13.7109375" style="48" bestFit="1" customWidth="1"/>
    <col min="255" max="256" width="9.140625" style="48"/>
    <col min="257" max="257" width="11.5703125" style="48" bestFit="1" customWidth="1"/>
    <col min="258" max="495" width="9.140625" style="48"/>
    <col min="496" max="496" width="7.42578125" style="48" bestFit="1" customWidth="1"/>
    <col min="497" max="497" width="18.5703125" style="48" customWidth="1"/>
    <col min="498" max="501" width="15.28515625" style="48" customWidth="1"/>
    <col min="502" max="502" width="16.28515625" style="48" customWidth="1"/>
    <col min="503" max="503" width="15.28515625" style="48" customWidth="1"/>
    <col min="504" max="504" width="6.5703125" style="48" customWidth="1"/>
    <col min="505" max="505" width="27" style="48" customWidth="1"/>
    <col min="506" max="506" width="17" style="48" bestFit="1" customWidth="1"/>
    <col min="507" max="508" width="8.140625" style="48" customWidth="1"/>
    <col min="509" max="509" width="9.85546875" style="48" customWidth="1"/>
    <col min="510" max="510" width="13.7109375" style="48" bestFit="1" customWidth="1"/>
    <col min="511" max="512" width="9.140625" style="48"/>
    <col min="513" max="513" width="11.5703125" style="48" bestFit="1" customWidth="1"/>
    <col min="514" max="751" width="9.140625" style="48"/>
    <col min="752" max="752" width="7.42578125" style="48" bestFit="1" customWidth="1"/>
    <col min="753" max="753" width="18.5703125" style="48" customWidth="1"/>
    <col min="754" max="757" width="15.28515625" style="48" customWidth="1"/>
    <col min="758" max="758" width="16.28515625" style="48" customWidth="1"/>
    <col min="759" max="759" width="15.28515625" style="48" customWidth="1"/>
    <col min="760" max="760" width="6.5703125" style="48" customWidth="1"/>
    <col min="761" max="761" width="27" style="48" customWidth="1"/>
    <col min="762" max="762" width="17" style="48" bestFit="1" customWidth="1"/>
    <col min="763" max="764" width="8.140625" style="48" customWidth="1"/>
    <col min="765" max="765" width="9.85546875" style="48" customWidth="1"/>
    <col min="766" max="766" width="13.7109375" style="48" bestFit="1" customWidth="1"/>
    <col min="767" max="768" width="9.140625" style="48"/>
    <col min="769" max="769" width="11.5703125" style="48" bestFit="1" customWidth="1"/>
    <col min="770" max="1007" width="9.140625" style="48"/>
    <col min="1008" max="1008" width="7.42578125" style="48" bestFit="1" customWidth="1"/>
    <col min="1009" max="1009" width="18.5703125" style="48" customWidth="1"/>
    <col min="1010" max="1013" width="15.28515625" style="48" customWidth="1"/>
    <col min="1014" max="1014" width="16.28515625" style="48" customWidth="1"/>
    <col min="1015" max="1015" width="15.28515625" style="48" customWidth="1"/>
    <col min="1016" max="1016" width="6.5703125" style="48" customWidth="1"/>
    <col min="1017" max="1017" width="27" style="48" customWidth="1"/>
    <col min="1018" max="1018" width="17" style="48" bestFit="1" customWidth="1"/>
    <col min="1019" max="1020" width="8.140625" style="48" customWidth="1"/>
    <col min="1021" max="1021" width="9.85546875" style="48" customWidth="1"/>
    <col min="1022" max="1022" width="13.7109375" style="48" bestFit="1" customWidth="1"/>
    <col min="1023" max="1024" width="9.140625" style="48"/>
    <col min="1025" max="1025" width="11.5703125" style="48" bestFit="1" customWidth="1"/>
    <col min="1026" max="1263" width="9.140625" style="48"/>
    <col min="1264" max="1264" width="7.42578125" style="48" bestFit="1" customWidth="1"/>
    <col min="1265" max="1265" width="18.5703125" style="48" customWidth="1"/>
    <col min="1266" max="1269" width="15.28515625" style="48" customWidth="1"/>
    <col min="1270" max="1270" width="16.28515625" style="48" customWidth="1"/>
    <col min="1271" max="1271" width="15.28515625" style="48" customWidth="1"/>
    <col min="1272" max="1272" width="6.5703125" style="48" customWidth="1"/>
    <col min="1273" max="1273" width="27" style="48" customWidth="1"/>
    <col min="1274" max="1274" width="17" style="48" bestFit="1" customWidth="1"/>
    <col min="1275" max="1276" width="8.140625" style="48" customWidth="1"/>
    <col min="1277" max="1277" width="9.85546875" style="48" customWidth="1"/>
    <col min="1278" max="1278" width="13.7109375" style="48" bestFit="1" customWidth="1"/>
    <col min="1279" max="1280" width="9.140625" style="48"/>
    <col min="1281" max="1281" width="11.5703125" style="48" bestFit="1" customWidth="1"/>
    <col min="1282" max="1519" width="9.140625" style="48"/>
    <col min="1520" max="1520" width="7.42578125" style="48" bestFit="1" customWidth="1"/>
    <col min="1521" max="1521" width="18.5703125" style="48" customWidth="1"/>
    <col min="1522" max="1525" width="15.28515625" style="48" customWidth="1"/>
    <col min="1526" max="1526" width="16.28515625" style="48" customWidth="1"/>
    <col min="1527" max="1527" width="15.28515625" style="48" customWidth="1"/>
    <col min="1528" max="1528" width="6.5703125" style="48" customWidth="1"/>
    <col min="1529" max="1529" width="27" style="48" customWidth="1"/>
    <col min="1530" max="1530" width="17" style="48" bestFit="1" customWidth="1"/>
    <col min="1531" max="1532" width="8.140625" style="48" customWidth="1"/>
    <col min="1533" max="1533" width="9.85546875" style="48" customWidth="1"/>
    <col min="1534" max="1534" width="13.7109375" style="48" bestFit="1" customWidth="1"/>
    <col min="1535" max="1536" width="9.140625" style="48"/>
    <col min="1537" max="1537" width="11.5703125" style="48" bestFit="1" customWidth="1"/>
    <col min="1538" max="1775" width="9.140625" style="48"/>
    <col min="1776" max="1776" width="7.42578125" style="48" bestFit="1" customWidth="1"/>
    <col min="1777" max="1777" width="18.5703125" style="48" customWidth="1"/>
    <col min="1778" max="1781" width="15.28515625" style="48" customWidth="1"/>
    <col min="1782" max="1782" width="16.28515625" style="48" customWidth="1"/>
    <col min="1783" max="1783" width="15.28515625" style="48" customWidth="1"/>
    <col min="1784" max="1784" width="6.5703125" style="48" customWidth="1"/>
    <col min="1785" max="1785" width="27" style="48" customWidth="1"/>
    <col min="1786" max="1786" width="17" style="48" bestFit="1" customWidth="1"/>
    <col min="1787" max="1788" width="8.140625" style="48" customWidth="1"/>
    <col min="1789" max="1789" width="9.85546875" style="48" customWidth="1"/>
    <col min="1790" max="1790" width="13.7109375" style="48" bestFit="1" customWidth="1"/>
    <col min="1791" max="1792" width="9.140625" style="48"/>
    <col min="1793" max="1793" width="11.5703125" style="48" bestFit="1" customWidth="1"/>
    <col min="1794" max="2031" width="9.140625" style="48"/>
    <col min="2032" max="2032" width="7.42578125" style="48" bestFit="1" customWidth="1"/>
    <col min="2033" max="2033" width="18.5703125" style="48" customWidth="1"/>
    <col min="2034" max="2037" width="15.28515625" style="48" customWidth="1"/>
    <col min="2038" max="2038" width="16.28515625" style="48" customWidth="1"/>
    <col min="2039" max="2039" width="15.28515625" style="48" customWidth="1"/>
    <col min="2040" max="2040" width="6.5703125" style="48" customWidth="1"/>
    <col min="2041" max="2041" width="27" style="48" customWidth="1"/>
    <col min="2042" max="2042" width="17" style="48" bestFit="1" customWidth="1"/>
    <col min="2043" max="2044" width="8.140625" style="48" customWidth="1"/>
    <col min="2045" max="2045" width="9.85546875" style="48" customWidth="1"/>
    <col min="2046" max="2046" width="13.7109375" style="48" bestFit="1" customWidth="1"/>
    <col min="2047" max="2048" width="9.140625" style="48"/>
    <col min="2049" max="2049" width="11.5703125" style="48" bestFit="1" customWidth="1"/>
    <col min="2050" max="2287" width="9.140625" style="48"/>
    <col min="2288" max="2288" width="7.42578125" style="48" bestFit="1" customWidth="1"/>
    <col min="2289" max="2289" width="18.5703125" style="48" customWidth="1"/>
    <col min="2290" max="2293" width="15.28515625" style="48" customWidth="1"/>
    <col min="2294" max="2294" width="16.28515625" style="48" customWidth="1"/>
    <col min="2295" max="2295" width="15.28515625" style="48" customWidth="1"/>
    <col min="2296" max="2296" width="6.5703125" style="48" customWidth="1"/>
    <col min="2297" max="2297" width="27" style="48" customWidth="1"/>
    <col min="2298" max="2298" width="17" style="48" bestFit="1" customWidth="1"/>
    <col min="2299" max="2300" width="8.140625" style="48" customWidth="1"/>
    <col min="2301" max="2301" width="9.85546875" style="48" customWidth="1"/>
    <col min="2302" max="2302" width="13.7109375" style="48" bestFit="1" customWidth="1"/>
    <col min="2303" max="2304" width="9.140625" style="48"/>
    <col min="2305" max="2305" width="11.5703125" style="48" bestFit="1" customWidth="1"/>
    <col min="2306" max="2543" width="9.140625" style="48"/>
    <col min="2544" max="2544" width="7.42578125" style="48" bestFit="1" customWidth="1"/>
    <col min="2545" max="2545" width="18.5703125" style="48" customWidth="1"/>
    <col min="2546" max="2549" width="15.28515625" style="48" customWidth="1"/>
    <col min="2550" max="2550" width="16.28515625" style="48" customWidth="1"/>
    <col min="2551" max="2551" width="15.28515625" style="48" customWidth="1"/>
    <col min="2552" max="2552" width="6.5703125" style="48" customWidth="1"/>
    <col min="2553" max="2553" width="27" style="48" customWidth="1"/>
    <col min="2554" max="2554" width="17" style="48" bestFit="1" customWidth="1"/>
    <col min="2555" max="2556" width="8.140625" style="48" customWidth="1"/>
    <col min="2557" max="2557" width="9.85546875" style="48" customWidth="1"/>
    <col min="2558" max="2558" width="13.7109375" style="48" bestFit="1" customWidth="1"/>
    <col min="2559" max="2560" width="9.140625" style="48"/>
    <col min="2561" max="2561" width="11.5703125" style="48" bestFit="1" customWidth="1"/>
    <col min="2562" max="2799" width="9.140625" style="48"/>
    <col min="2800" max="2800" width="7.42578125" style="48" bestFit="1" customWidth="1"/>
    <col min="2801" max="2801" width="18.5703125" style="48" customWidth="1"/>
    <col min="2802" max="2805" width="15.28515625" style="48" customWidth="1"/>
    <col min="2806" max="2806" width="16.28515625" style="48" customWidth="1"/>
    <col min="2807" max="2807" width="15.28515625" style="48" customWidth="1"/>
    <col min="2808" max="2808" width="6.5703125" style="48" customWidth="1"/>
    <col min="2809" max="2809" width="27" style="48" customWidth="1"/>
    <col min="2810" max="2810" width="17" style="48" bestFit="1" customWidth="1"/>
    <col min="2811" max="2812" width="8.140625" style="48" customWidth="1"/>
    <col min="2813" max="2813" width="9.85546875" style="48" customWidth="1"/>
    <col min="2814" max="2814" width="13.7109375" style="48" bestFit="1" customWidth="1"/>
    <col min="2815" max="2816" width="9.140625" style="48"/>
    <col min="2817" max="2817" width="11.5703125" style="48" bestFit="1" customWidth="1"/>
    <col min="2818" max="3055" width="9.140625" style="48"/>
    <col min="3056" max="3056" width="7.42578125" style="48" bestFit="1" customWidth="1"/>
    <col min="3057" max="3057" width="18.5703125" style="48" customWidth="1"/>
    <col min="3058" max="3061" width="15.28515625" style="48" customWidth="1"/>
    <col min="3062" max="3062" width="16.28515625" style="48" customWidth="1"/>
    <col min="3063" max="3063" width="15.28515625" style="48" customWidth="1"/>
    <col min="3064" max="3064" width="6.5703125" style="48" customWidth="1"/>
    <col min="3065" max="3065" width="27" style="48" customWidth="1"/>
    <col min="3066" max="3066" width="17" style="48" bestFit="1" customWidth="1"/>
    <col min="3067" max="3068" width="8.140625" style="48" customWidth="1"/>
    <col min="3069" max="3069" width="9.85546875" style="48" customWidth="1"/>
    <col min="3070" max="3070" width="13.7109375" style="48" bestFit="1" customWidth="1"/>
    <col min="3071" max="3072" width="9.140625" style="48"/>
    <col min="3073" max="3073" width="11.5703125" style="48" bestFit="1" customWidth="1"/>
    <col min="3074" max="3311" width="9.140625" style="48"/>
    <col min="3312" max="3312" width="7.42578125" style="48" bestFit="1" customWidth="1"/>
    <col min="3313" max="3313" width="18.5703125" style="48" customWidth="1"/>
    <col min="3314" max="3317" width="15.28515625" style="48" customWidth="1"/>
    <col min="3318" max="3318" width="16.28515625" style="48" customWidth="1"/>
    <col min="3319" max="3319" width="15.28515625" style="48" customWidth="1"/>
    <col min="3320" max="3320" width="6.5703125" style="48" customWidth="1"/>
    <col min="3321" max="3321" width="27" style="48" customWidth="1"/>
    <col min="3322" max="3322" width="17" style="48" bestFit="1" customWidth="1"/>
    <col min="3323" max="3324" width="8.140625" style="48" customWidth="1"/>
    <col min="3325" max="3325" width="9.85546875" style="48" customWidth="1"/>
    <col min="3326" max="3326" width="13.7109375" style="48" bestFit="1" customWidth="1"/>
    <col min="3327" max="3328" width="9.140625" style="48"/>
    <col min="3329" max="3329" width="11.5703125" style="48" bestFit="1" customWidth="1"/>
    <col min="3330" max="3567" width="9.140625" style="48"/>
    <col min="3568" max="3568" width="7.42578125" style="48" bestFit="1" customWidth="1"/>
    <col min="3569" max="3569" width="18.5703125" style="48" customWidth="1"/>
    <col min="3570" max="3573" width="15.28515625" style="48" customWidth="1"/>
    <col min="3574" max="3574" width="16.28515625" style="48" customWidth="1"/>
    <col min="3575" max="3575" width="15.28515625" style="48" customWidth="1"/>
    <col min="3576" max="3576" width="6.5703125" style="48" customWidth="1"/>
    <col min="3577" max="3577" width="27" style="48" customWidth="1"/>
    <col min="3578" max="3578" width="17" style="48" bestFit="1" customWidth="1"/>
    <col min="3579" max="3580" width="8.140625" style="48" customWidth="1"/>
    <col min="3581" max="3581" width="9.85546875" style="48" customWidth="1"/>
    <col min="3582" max="3582" width="13.7109375" style="48" bestFit="1" customWidth="1"/>
    <col min="3583" max="3584" width="9.140625" style="48"/>
    <col min="3585" max="3585" width="11.5703125" style="48" bestFit="1" customWidth="1"/>
    <col min="3586" max="3823" width="9.140625" style="48"/>
    <col min="3824" max="3824" width="7.42578125" style="48" bestFit="1" customWidth="1"/>
    <col min="3825" max="3825" width="18.5703125" style="48" customWidth="1"/>
    <col min="3826" max="3829" width="15.28515625" style="48" customWidth="1"/>
    <col min="3830" max="3830" width="16.28515625" style="48" customWidth="1"/>
    <col min="3831" max="3831" width="15.28515625" style="48" customWidth="1"/>
    <col min="3832" max="3832" width="6.5703125" style="48" customWidth="1"/>
    <col min="3833" max="3833" width="27" style="48" customWidth="1"/>
    <col min="3834" max="3834" width="17" style="48" bestFit="1" customWidth="1"/>
    <col min="3835" max="3836" width="8.140625" style="48" customWidth="1"/>
    <col min="3837" max="3837" width="9.85546875" style="48" customWidth="1"/>
    <col min="3838" max="3838" width="13.7109375" style="48" bestFit="1" customWidth="1"/>
    <col min="3839" max="3840" width="9.140625" style="48"/>
    <col min="3841" max="3841" width="11.5703125" style="48" bestFit="1" customWidth="1"/>
    <col min="3842" max="4079" width="9.140625" style="48"/>
    <col min="4080" max="4080" width="7.42578125" style="48" bestFit="1" customWidth="1"/>
    <col min="4081" max="4081" width="18.5703125" style="48" customWidth="1"/>
    <col min="4082" max="4085" width="15.28515625" style="48" customWidth="1"/>
    <col min="4086" max="4086" width="16.28515625" style="48" customWidth="1"/>
    <col min="4087" max="4087" width="15.28515625" style="48" customWidth="1"/>
    <col min="4088" max="4088" width="6.5703125" style="48" customWidth="1"/>
    <col min="4089" max="4089" width="27" style="48" customWidth="1"/>
    <col min="4090" max="4090" width="17" style="48" bestFit="1" customWidth="1"/>
    <col min="4091" max="4092" width="8.140625" style="48" customWidth="1"/>
    <col min="4093" max="4093" width="9.85546875" style="48" customWidth="1"/>
    <col min="4094" max="4094" width="13.7109375" style="48" bestFit="1" customWidth="1"/>
    <col min="4095" max="4096" width="9.140625" style="48"/>
    <col min="4097" max="4097" width="11.5703125" style="48" bestFit="1" customWidth="1"/>
    <col min="4098" max="4335" width="9.140625" style="48"/>
    <col min="4336" max="4336" width="7.42578125" style="48" bestFit="1" customWidth="1"/>
    <col min="4337" max="4337" width="18.5703125" style="48" customWidth="1"/>
    <col min="4338" max="4341" width="15.28515625" style="48" customWidth="1"/>
    <col min="4342" max="4342" width="16.28515625" style="48" customWidth="1"/>
    <col min="4343" max="4343" width="15.28515625" style="48" customWidth="1"/>
    <col min="4344" max="4344" width="6.5703125" style="48" customWidth="1"/>
    <col min="4345" max="4345" width="27" style="48" customWidth="1"/>
    <col min="4346" max="4346" width="17" style="48" bestFit="1" customWidth="1"/>
    <col min="4347" max="4348" width="8.140625" style="48" customWidth="1"/>
    <col min="4349" max="4349" width="9.85546875" style="48" customWidth="1"/>
    <col min="4350" max="4350" width="13.7109375" style="48" bestFit="1" customWidth="1"/>
    <col min="4351" max="4352" width="9.140625" style="48"/>
    <col min="4353" max="4353" width="11.5703125" style="48" bestFit="1" customWidth="1"/>
    <col min="4354" max="4591" width="9.140625" style="48"/>
    <col min="4592" max="4592" width="7.42578125" style="48" bestFit="1" customWidth="1"/>
    <col min="4593" max="4593" width="18.5703125" style="48" customWidth="1"/>
    <col min="4594" max="4597" width="15.28515625" style="48" customWidth="1"/>
    <col min="4598" max="4598" width="16.28515625" style="48" customWidth="1"/>
    <col min="4599" max="4599" width="15.28515625" style="48" customWidth="1"/>
    <col min="4600" max="4600" width="6.5703125" style="48" customWidth="1"/>
    <col min="4601" max="4601" width="27" style="48" customWidth="1"/>
    <col min="4602" max="4602" width="17" style="48" bestFit="1" customWidth="1"/>
    <col min="4603" max="4604" width="8.140625" style="48" customWidth="1"/>
    <col min="4605" max="4605" width="9.85546875" style="48" customWidth="1"/>
    <col min="4606" max="4606" width="13.7109375" style="48" bestFit="1" customWidth="1"/>
    <col min="4607" max="4608" width="9.140625" style="48"/>
    <col min="4609" max="4609" width="11.5703125" style="48" bestFit="1" customWidth="1"/>
    <col min="4610" max="4847" width="9.140625" style="48"/>
    <col min="4848" max="4848" width="7.42578125" style="48" bestFit="1" customWidth="1"/>
    <col min="4849" max="4849" width="18.5703125" style="48" customWidth="1"/>
    <col min="4850" max="4853" width="15.28515625" style="48" customWidth="1"/>
    <col min="4854" max="4854" width="16.28515625" style="48" customWidth="1"/>
    <col min="4855" max="4855" width="15.28515625" style="48" customWidth="1"/>
    <col min="4856" max="4856" width="6.5703125" style="48" customWidth="1"/>
    <col min="4857" max="4857" width="27" style="48" customWidth="1"/>
    <col min="4858" max="4858" width="17" style="48" bestFit="1" customWidth="1"/>
    <col min="4859" max="4860" width="8.140625" style="48" customWidth="1"/>
    <col min="4861" max="4861" width="9.85546875" style="48" customWidth="1"/>
    <col min="4862" max="4862" width="13.7109375" style="48" bestFit="1" customWidth="1"/>
    <col min="4863" max="4864" width="9.140625" style="48"/>
    <col min="4865" max="4865" width="11.5703125" style="48" bestFit="1" customWidth="1"/>
    <col min="4866" max="5103" width="9.140625" style="48"/>
    <col min="5104" max="5104" width="7.42578125" style="48" bestFit="1" customWidth="1"/>
    <col min="5105" max="5105" width="18.5703125" style="48" customWidth="1"/>
    <col min="5106" max="5109" width="15.28515625" style="48" customWidth="1"/>
    <col min="5110" max="5110" width="16.28515625" style="48" customWidth="1"/>
    <col min="5111" max="5111" width="15.28515625" style="48" customWidth="1"/>
    <col min="5112" max="5112" width="6.5703125" style="48" customWidth="1"/>
    <col min="5113" max="5113" width="27" style="48" customWidth="1"/>
    <col min="5114" max="5114" width="17" style="48" bestFit="1" customWidth="1"/>
    <col min="5115" max="5116" width="8.140625" style="48" customWidth="1"/>
    <col min="5117" max="5117" width="9.85546875" style="48" customWidth="1"/>
    <col min="5118" max="5118" width="13.7109375" style="48" bestFit="1" customWidth="1"/>
    <col min="5119" max="5120" width="9.140625" style="48"/>
    <col min="5121" max="5121" width="11.5703125" style="48" bestFit="1" customWidth="1"/>
    <col min="5122" max="5359" width="9.140625" style="48"/>
    <col min="5360" max="5360" width="7.42578125" style="48" bestFit="1" customWidth="1"/>
    <col min="5361" max="5361" width="18.5703125" style="48" customWidth="1"/>
    <col min="5362" max="5365" width="15.28515625" style="48" customWidth="1"/>
    <col min="5366" max="5366" width="16.28515625" style="48" customWidth="1"/>
    <col min="5367" max="5367" width="15.28515625" style="48" customWidth="1"/>
    <col min="5368" max="5368" width="6.5703125" style="48" customWidth="1"/>
    <col min="5369" max="5369" width="27" style="48" customWidth="1"/>
    <col min="5370" max="5370" width="17" style="48" bestFit="1" customWidth="1"/>
    <col min="5371" max="5372" width="8.140625" style="48" customWidth="1"/>
    <col min="5373" max="5373" width="9.85546875" style="48" customWidth="1"/>
    <col min="5374" max="5374" width="13.7109375" style="48" bestFit="1" customWidth="1"/>
    <col min="5375" max="5376" width="9.140625" style="48"/>
    <col min="5377" max="5377" width="11.5703125" style="48" bestFit="1" customWidth="1"/>
    <col min="5378" max="5615" width="9.140625" style="48"/>
    <col min="5616" max="5616" width="7.42578125" style="48" bestFit="1" customWidth="1"/>
    <col min="5617" max="5617" width="18.5703125" style="48" customWidth="1"/>
    <col min="5618" max="5621" width="15.28515625" style="48" customWidth="1"/>
    <col min="5622" max="5622" width="16.28515625" style="48" customWidth="1"/>
    <col min="5623" max="5623" width="15.28515625" style="48" customWidth="1"/>
    <col min="5624" max="5624" width="6.5703125" style="48" customWidth="1"/>
    <col min="5625" max="5625" width="27" style="48" customWidth="1"/>
    <col min="5626" max="5626" width="17" style="48" bestFit="1" customWidth="1"/>
    <col min="5627" max="5628" width="8.140625" style="48" customWidth="1"/>
    <col min="5629" max="5629" width="9.85546875" style="48" customWidth="1"/>
    <col min="5630" max="5630" width="13.7109375" style="48" bestFit="1" customWidth="1"/>
    <col min="5631" max="5632" width="9.140625" style="48"/>
    <col min="5633" max="5633" width="11.5703125" style="48" bestFit="1" customWidth="1"/>
    <col min="5634" max="5871" width="9.140625" style="48"/>
    <col min="5872" max="5872" width="7.42578125" style="48" bestFit="1" customWidth="1"/>
    <col min="5873" max="5873" width="18.5703125" style="48" customWidth="1"/>
    <col min="5874" max="5877" width="15.28515625" style="48" customWidth="1"/>
    <col min="5878" max="5878" width="16.28515625" style="48" customWidth="1"/>
    <col min="5879" max="5879" width="15.28515625" style="48" customWidth="1"/>
    <col min="5880" max="5880" width="6.5703125" style="48" customWidth="1"/>
    <col min="5881" max="5881" width="27" style="48" customWidth="1"/>
    <col min="5882" max="5882" width="17" style="48" bestFit="1" customWidth="1"/>
    <col min="5883" max="5884" width="8.140625" style="48" customWidth="1"/>
    <col min="5885" max="5885" width="9.85546875" style="48" customWidth="1"/>
    <col min="5886" max="5886" width="13.7109375" style="48" bestFit="1" customWidth="1"/>
    <col min="5887" max="5888" width="9.140625" style="48"/>
    <col min="5889" max="5889" width="11.5703125" style="48" bestFit="1" customWidth="1"/>
    <col min="5890" max="6127" width="9.140625" style="48"/>
    <col min="6128" max="6128" width="7.42578125" style="48" bestFit="1" customWidth="1"/>
    <col min="6129" max="6129" width="18.5703125" style="48" customWidth="1"/>
    <col min="6130" max="6133" width="15.28515625" style="48" customWidth="1"/>
    <col min="6134" max="6134" width="16.28515625" style="48" customWidth="1"/>
    <col min="6135" max="6135" width="15.28515625" style="48" customWidth="1"/>
    <col min="6136" max="6136" width="6.5703125" style="48" customWidth="1"/>
    <col min="6137" max="6137" width="27" style="48" customWidth="1"/>
    <col min="6138" max="6138" width="17" style="48" bestFit="1" customWidth="1"/>
    <col min="6139" max="6140" width="8.140625" style="48" customWidth="1"/>
    <col min="6141" max="6141" width="9.85546875" style="48" customWidth="1"/>
    <col min="6142" max="6142" width="13.7109375" style="48" bestFit="1" customWidth="1"/>
    <col min="6143" max="6144" width="9.140625" style="48"/>
    <col min="6145" max="6145" width="11.5703125" style="48" bestFit="1" customWidth="1"/>
    <col min="6146" max="6383" width="9.140625" style="48"/>
    <col min="6384" max="6384" width="7.42578125" style="48" bestFit="1" customWidth="1"/>
    <col min="6385" max="6385" width="18.5703125" style="48" customWidth="1"/>
    <col min="6386" max="6389" width="15.28515625" style="48" customWidth="1"/>
    <col min="6390" max="6390" width="16.28515625" style="48" customWidth="1"/>
    <col min="6391" max="6391" width="15.28515625" style="48" customWidth="1"/>
    <col min="6392" max="6392" width="6.5703125" style="48" customWidth="1"/>
    <col min="6393" max="6393" width="27" style="48" customWidth="1"/>
    <col min="6394" max="6394" width="17" style="48" bestFit="1" customWidth="1"/>
    <col min="6395" max="6396" width="8.140625" style="48" customWidth="1"/>
    <col min="6397" max="6397" width="9.85546875" style="48" customWidth="1"/>
    <col min="6398" max="6398" width="13.7109375" style="48" bestFit="1" customWidth="1"/>
    <col min="6399" max="6400" width="9.140625" style="48"/>
    <col min="6401" max="6401" width="11.5703125" style="48" bestFit="1" customWidth="1"/>
    <col min="6402" max="6639" width="9.140625" style="48"/>
    <col min="6640" max="6640" width="7.42578125" style="48" bestFit="1" customWidth="1"/>
    <col min="6641" max="6641" width="18.5703125" style="48" customWidth="1"/>
    <col min="6642" max="6645" width="15.28515625" style="48" customWidth="1"/>
    <col min="6646" max="6646" width="16.28515625" style="48" customWidth="1"/>
    <col min="6647" max="6647" width="15.28515625" style="48" customWidth="1"/>
    <col min="6648" max="6648" width="6.5703125" style="48" customWidth="1"/>
    <col min="6649" max="6649" width="27" style="48" customWidth="1"/>
    <col min="6650" max="6650" width="17" style="48" bestFit="1" customWidth="1"/>
    <col min="6651" max="6652" width="8.140625" style="48" customWidth="1"/>
    <col min="6653" max="6653" width="9.85546875" style="48" customWidth="1"/>
    <col min="6654" max="6654" width="13.7109375" style="48" bestFit="1" customWidth="1"/>
    <col min="6655" max="6656" width="9.140625" style="48"/>
    <col min="6657" max="6657" width="11.5703125" style="48" bestFit="1" customWidth="1"/>
    <col min="6658" max="6895" width="9.140625" style="48"/>
    <col min="6896" max="6896" width="7.42578125" style="48" bestFit="1" customWidth="1"/>
    <col min="6897" max="6897" width="18.5703125" style="48" customWidth="1"/>
    <col min="6898" max="6901" width="15.28515625" style="48" customWidth="1"/>
    <col min="6902" max="6902" width="16.28515625" style="48" customWidth="1"/>
    <col min="6903" max="6903" width="15.28515625" style="48" customWidth="1"/>
    <col min="6904" max="6904" width="6.5703125" style="48" customWidth="1"/>
    <col min="6905" max="6905" width="27" style="48" customWidth="1"/>
    <col min="6906" max="6906" width="17" style="48" bestFit="1" customWidth="1"/>
    <col min="6907" max="6908" width="8.140625" style="48" customWidth="1"/>
    <col min="6909" max="6909" width="9.85546875" style="48" customWidth="1"/>
    <col min="6910" max="6910" width="13.7109375" style="48" bestFit="1" customWidth="1"/>
    <col min="6911" max="6912" width="9.140625" style="48"/>
    <col min="6913" max="6913" width="11.5703125" style="48" bestFit="1" customWidth="1"/>
    <col min="6914" max="7151" width="9.140625" style="48"/>
    <col min="7152" max="7152" width="7.42578125" style="48" bestFit="1" customWidth="1"/>
    <col min="7153" max="7153" width="18.5703125" style="48" customWidth="1"/>
    <col min="7154" max="7157" width="15.28515625" style="48" customWidth="1"/>
    <col min="7158" max="7158" width="16.28515625" style="48" customWidth="1"/>
    <col min="7159" max="7159" width="15.28515625" style="48" customWidth="1"/>
    <col min="7160" max="7160" width="6.5703125" style="48" customWidth="1"/>
    <col min="7161" max="7161" width="27" style="48" customWidth="1"/>
    <col min="7162" max="7162" width="17" style="48" bestFit="1" customWidth="1"/>
    <col min="7163" max="7164" width="8.140625" style="48" customWidth="1"/>
    <col min="7165" max="7165" width="9.85546875" style="48" customWidth="1"/>
    <col min="7166" max="7166" width="13.7109375" style="48" bestFit="1" customWidth="1"/>
    <col min="7167" max="7168" width="9.140625" style="48"/>
    <col min="7169" max="7169" width="11.5703125" style="48" bestFit="1" customWidth="1"/>
    <col min="7170" max="7407" width="9.140625" style="48"/>
    <col min="7408" max="7408" width="7.42578125" style="48" bestFit="1" customWidth="1"/>
    <col min="7409" max="7409" width="18.5703125" style="48" customWidth="1"/>
    <col min="7410" max="7413" width="15.28515625" style="48" customWidth="1"/>
    <col min="7414" max="7414" width="16.28515625" style="48" customWidth="1"/>
    <col min="7415" max="7415" width="15.28515625" style="48" customWidth="1"/>
    <col min="7416" max="7416" width="6.5703125" style="48" customWidth="1"/>
    <col min="7417" max="7417" width="27" style="48" customWidth="1"/>
    <col min="7418" max="7418" width="17" style="48" bestFit="1" customWidth="1"/>
    <col min="7419" max="7420" width="8.140625" style="48" customWidth="1"/>
    <col min="7421" max="7421" width="9.85546875" style="48" customWidth="1"/>
    <col min="7422" max="7422" width="13.7109375" style="48" bestFit="1" customWidth="1"/>
    <col min="7423" max="7424" width="9.140625" style="48"/>
    <col min="7425" max="7425" width="11.5703125" style="48" bestFit="1" customWidth="1"/>
    <col min="7426" max="7663" width="9.140625" style="48"/>
    <col min="7664" max="7664" width="7.42578125" style="48" bestFit="1" customWidth="1"/>
    <col min="7665" max="7665" width="18.5703125" style="48" customWidth="1"/>
    <col min="7666" max="7669" width="15.28515625" style="48" customWidth="1"/>
    <col min="7670" max="7670" width="16.28515625" style="48" customWidth="1"/>
    <col min="7671" max="7671" width="15.28515625" style="48" customWidth="1"/>
    <col min="7672" max="7672" width="6.5703125" style="48" customWidth="1"/>
    <col min="7673" max="7673" width="27" style="48" customWidth="1"/>
    <col min="7674" max="7674" width="17" style="48" bestFit="1" customWidth="1"/>
    <col min="7675" max="7676" width="8.140625" style="48" customWidth="1"/>
    <col min="7677" max="7677" width="9.85546875" style="48" customWidth="1"/>
    <col min="7678" max="7678" width="13.7109375" style="48" bestFit="1" customWidth="1"/>
    <col min="7679" max="7680" width="9.140625" style="48"/>
    <col min="7681" max="7681" width="11.5703125" style="48" bestFit="1" customWidth="1"/>
    <col min="7682" max="7919" width="9.140625" style="48"/>
    <col min="7920" max="7920" width="7.42578125" style="48" bestFit="1" customWidth="1"/>
    <col min="7921" max="7921" width="18.5703125" style="48" customWidth="1"/>
    <col min="7922" max="7925" width="15.28515625" style="48" customWidth="1"/>
    <col min="7926" max="7926" width="16.28515625" style="48" customWidth="1"/>
    <col min="7927" max="7927" width="15.28515625" style="48" customWidth="1"/>
    <col min="7928" max="7928" width="6.5703125" style="48" customWidth="1"/>
    <col min="7929" max="7929" width="27" style="48" customWidth="1"/>
    <col min="7930" max="7930" width="17" style="48" bestFit="1" customWidth="1"/>
    <col min="7931" max="7932" width="8.140625" style="48" customWidth="1"/>
    <col min="7933" max="7933" width="9.85546875" style="48" customWidth="1"/>
    <col min="7934" max="7934" width="13.7109375" style="48" bestFit="1" customWidth="1"/>
    <col min="7935" max="7936" width="9.140625" style="48"/>
    <col min="7937" max="7937" width="11.5703125" style="48" bestFit="1" customWidth="1"/>
    <col min="7938" max="8175" width="9.140625" style="48"/>
    <col min="8176" max="8176" width="7.42578125" style="48" bestFit="1" customWidth="1"/>
    <col min="8177" max="8177" width="18.5703125" style="48" customWidth="1"/>
    <col min="8178" max="8181" width="15.28515625" style="48" customWidth="1"/>
    <col min="8182" max="8182" width="16.28515625" style="48" customWidth="1"/>
    <col min="8183" max="8183" width="15.28515625" style="48" customWidth="1"/>
    <col min="8184" max="8184" width="6.5703125" style="48" customWidth="1"/>
    <col min="8185" max="8185" width="27" style="48" customWidth="1"/>
    <col min="8186" max="8186" width="17" style="48" bestFit="1" customWidth="1"/>
    <col min="8187" max="8188" width="8.140625" style="48" customWidth="1"/>
    <col min="8189" max="8189" width="9.85546875" style="48" customWidth="1"/>
    <col min="8190" max="8190" width="13.7109375" style="48" bestFit="1" customWidth="1"/>
    <col min="8191" max="8192" width="9.140625" style="48"/>
    <col min="8193" max="8193" width="11.5703125" style="48" bestFit="1" customWidth="1"/>
    <col min="8194" max="8431" width="9.140625" style="48"/>
    <col min="8432" max="8432" width="7.42578125" style="48" bestFit="1" customWidth="1"/>
    <col min="8433" max="8433" width="18.5703125" style="48" customWidth="1"/>
    <col min="8434" max="8437" width="15.28515625" style="48" customWidth="1"/>
    <col min="8438" max="8438" width="16.28515625" style="48" customWidth="1"/>
    <col min="8439" max="8439" width="15.28515625" style="48" customWidth="1"/>
    <col min="8440" max="8440" width="6.5703125" style="48" customWidth="1"/>
    <col min="8441" max="8441" width="27" style="48" customWidth="1"/>
    <col min="8442" max="8442" width="17" style="48" bestFit="1" customWidth="1"/>
    <col min="8443" max="8444" width="8.140625" style="48" customWidth="1"/>
    <col min="8445" max="8445" width="9.85546875" style="48" customWidth="1"/>
    <col min="8446" max="8446" width="13.7109375" style="48" bestFit="1" customWidth="1"/>
    <col min="8447" max="8448" width="9.140625" style="48"/>
    <col min="8449" max="8449" width="11.5703125" style="48" bestFit="1" customWidth="1"/>
    <col min="8450" max="8687" width="9.140625" style="48"/>
    <col min="8688" max="8688" width="7.42578125" style="48" bestFit="1" customWidth="1"/>
    <col min="8689" max="8689" width="18.5703125" style="48" customWidth="1"/>
    <col min="8690" max="8693" width="15.28515625" style="48" customWidth="1"/>
    <col min="8694" max="8694" width="16.28515625" style="48" customWidth="1"/>
    <col min="8695" max="8695" width="15.28515625" style="48" customWidth="1"/>
    <col min="8696" max="8696" width="6.5703125" style="48" customWidth="1"/>
    <col min="8697" max="8697" width="27" style="48" customWidth="1"/>
    <col min="8698" max="8698" width="17" style="48" bestFit="1" customWidth="1"/>
    <col min="8699" max="8700" width="8.140625" style="48" customWidth="1"/>
    <col min="8701" max="8701" width="9.85546875" style="48" customWidth="1"/>
    <col min="8702" max="8702" width="13.7109375" style="48" bestFit="1" customWidth="1"/>
    <col min="8703" max="8704" width="9.140625" style="48"/>
    <col min="8705" max="8705" width="11.5703125" style="48" bestFit="1" customWidth="1"/>
    <col min="8706" max="8943" width="9.140625" style="48"/>
    <col min="8944" max="8944" width="7.42578125" style="48" bestFit="1" customWidth="1"/>
    <col min="8945" max="8945" width="18.5703125" style="48" customWidth="1"/>
    <col min="8946" max="8949" width="15.28515625" style="48" customWidth="1"/>
    <col min="8950" max="8950" width="16.28515625" style="48" customWidth="1"/>
    <col min="8951" max="8951" width="15.28515625" style="48" customWidth="1"/>
    <col min="8952" max="8952" width="6.5703125" style="48" customWidth="1"/>
    <col min="8953" max="8953" width="27" style="48" customWidth="1"/>
    <col min="8954" max="8954" width="17" style="48" bestFit="1" customWidth="1"/>
    <col min="8955" max="8956" width="8.140625" style="48" customWidth="1"/>
    <col min="8957" max="8957" width="9.85546875" style="48" customWidth="1"/>
    <col min="8958" max="8958" width="13.7109375" style="48" bestFit="1" customWidth="1"/>
    <col min="8959" max="8960" width="9.140625" style="48"/>
    <col min="8961" max="8961" width="11.5703125" style="48" bestFit="1" customWidth="1"/>
    <col min="8962" max="9199" width="9.140625" style="48"/>
    <col min="9200" max="9200" width="7.42578125" style="48" bestFit="1" customWidth="1"/>
    <col min="9201" max="9201" width="18.5703125" style="48" customWidth="1"/>
    <col min="9202" max="9205" width="15.28515625" style="48" customWidth="1"/>
    <col min="9206" max="9206" width="16.28515625" style="48" customWidth="1"/>
    <col min="9207" max="9207" width="15.28515625" style="48" customWidth="1"/>
    <col min="9208" max="9208" width="6.5703125" style="48" customWidth="1"/>
    <col min="9209" max="9209" width="27" style="48" customWidth="1"/>
    <col min="9210" max="9210" width="17" style="48" bestFit="1" customWidth="1"/>
    <col min="9211" max="9212" width="8.140625" style="48" customWidth="1"/>
    <col min="9213" max="9213" width="9.85546875" style="48" customWidth="1"/>
    <col min="9214" max="9214" width="13.7109375" style="48" bestFit="1" customWidth="1"/>
    <col min="9215" max="9216" width="9.140625" style="48"/>
    <col min="9217" max="9217" width="11.5703125" style="48" bestFit="1" customWidth="1"/>
    <col min="9218" max="9455" width="9.140625" style="48"/>
    <col min="9456" max="9456" width="7.42578125" style="48" bestFit="1" customWidth="1"/>
    <col min="9457" max="9457" width="18.5703125" style="48" customWidth="1"/>
    <col min="9458" max="9461" width="15.28515625" style="48" customWidth="1"/>
    <col min="9462" max="9462" width="16.28515625" style="48" customWidth="1"/>
    <col min="9463" max="9463" width="15.28515625" style="48" customWidth="1"/>
    <col min="9464" max="9464" width="6.5703125" style="48" customWidth="1"/>
    <col min="9465" max="9465" width="27" style="48" customWidth="1"/>
    <col min="9466" max="9466" width="17" style="48" bestFit="1" customWidth="1"/>
    <col min="9467" max="9468" width="8.140625" style="48" customWidth="1"/>
    <col min="9469" max="9469" width="9.85546875" style="48" customWidth="1"/>
    <col min="9470" max="9470" width="13.7109375" style="48" bestFit="1" customWidth="1"/>
    <col min="9471" max="9472" width="9.140625" style="48"/>
    <col min="9473" max="9473" width="11.5703125" style="48" bestFit="1" customWidth="1"/>
    <col min="9474" max="9711" width="9.140625" style="48"/>
    <col min="9712" max="9712" width="7.42578125" style="48" bestFit="1" customWidth="1"/>
    <col min="9713" max="9713" width="18.5703125" style="48" customWidth="1"/>
    <col min="9714" max="9717" width="15.28515625" style="48" customWidth="1"/>
    <col min="9718" max="9718" width="16.28515625" style="48" customWidth="1"/>
    <col min="9719" max="9719" width="15.28515625" style="48" customWidth="1"/>
    <col min="9720" max="9720" width="6.5703125" style="48" customWidth="1"/>
    <col min="9721" max="9721" width="27" style="48" customWidth="1"/>
    <col min="9722" max="9722" width="17" style="48" bestFit="1" customWidth="1"/>
    <col min="9723" max="9724" width="8.140625" style="48" customWidth="1"/>
    <col min="9725" max="9725" width="9.85546875" style="48" customWidth="1"/>
    <col min="9726" max="9726" width="13.7109375" style="48" bestFit="1" customWidth="1"/>
    <col min="9727" max="9728" width="9.140625" style="48"/>
    <col min="9729" max="9729" width="11.5703125" style="48" bestFit="1" customWidth="1"/>
    <col min="9730" max="9967" width="9.140625" style="48"/>
    <col min="9968" max="9968" width="7.42578125" style="48" bestFit="1" customWidth="1"/>
    <col min="9969" max="9969" width="18.5703125" style="48" customWidth="1"/>
    <col min="9970" max="9973" width="15.28515625" style="48" customWidth="1"/>
    <col min="9974" max="9974" width="16.28515625" style="48" customWidth="1"/>
    <col min="9975" max="9975" width="15.28515625" style="48" customWidth="1"/>
    <col min="9976" max="9976" width="6.5703125" style="48" customWidth="1"/>
    <col min="9977" max="9977" width="27" style="48" customWidth="1"/>
    <col min="9978" max="9978" width="17" style="48" bestFit="1" customWidth="1"/>
    <col min="9979" max="9980" width="8.140625" style="48" customWidth="1"/>
    <col min="9981" max="9981" width="9.85546875" style="48" customWidth="1"/>
    <col min="9982" max="9982" width="13.7109375" style="48" bestFit="1" customWidth="1"/>
    <col min="9983" max="9984" width="9.140625" style="48"/>
    <col min="9985" max="9985" width="11.5703125" style="48" bestFit="1" customWidth="1"/>
    <col min="9986" max="10223" width="9.140625" style="48"/>
    <col min="10224" max="10224" width="7.42578125" style="48" bestFit="1" customWidth="1"/>
    <col min="10225" max="10225" width="18.5703125" style="48" customWidth="1"/>
    <col min="10226" max="10229" width="15.28515625" style="48" customWidth="1"/>
    <col min="10230" max="10230" width="16.28515625" style="48" customWidth="1"/>
    <col min="10231" max="10231" width="15.28515625" style="48" customWidth="1"/>
    <col min="10232" max="10232" width="6.5703125" style="48" customWidth="1"/>
    <col min="10233" max="10233" width="27" style="48" customWidth="1"/>
    <col min="10234" max="10234" width="17" style="48" bestFit="1" customWidth="1"/>
    <col min="10235" max="10236" width="8.140625" style="48" customWidth="1"/>
    <col min="10237" max="10237" width="9.85546875" style="48" customWidth="1"/>
    <col min="10238" max="10238" width="13.7109375" style="48" bestFit="1" customWidth="1"/>
    <col min="10239" max="10240" width="9.140625" style="48"/>
    <col min="10241" max="10241" width="11.5703125" style="48" bestFit="1" customWidth="1"/>
    <col min="10242" max="10479" width="9.140625" style="48"/>
    <col min="10480" max="10480" width="7.42578125" style="48" bestFit="1" customWidth="1"/>
    <col min="10481" max="10481" width="18.5703125" style="48" customWidth="1"/>
    <col min="10482" max="10485" width="15.28515625" style="48" customWidth="1"/>
    <col min="10486" max="10486" width="16.28515625" style="48" customWidth="1"/>
    <col min="10487" max="10487" width="15.28515625" style="48" customWidth="1"/>
    <col min="10488" max="10488" width="6.5703125" style="48" customWidth="1"/>
    <col min="10489" max="10489" width="27" style="48" customWidth="1"/>
    <col min="10490" max="10490" width="17" style="48" bestFit="1" customWidth="1"/>
    <col min="10491" max="10492" width="8.140625" style="48" customWidth="1"/>
    <col min="10493" max="10493" width="9.85546875" style="48" customWidth="1"/>
    <col min="10494" max="10494" width="13.7109375" style="48" bestFit="1" customWidth="1"/>
    <col min="10495" max="10496" width="9.140625" style="48"/>
    <col min="10497" max="10497" width="11.5703125" style="48" bestFit="1" customWidth="1"/>
    <col min="10498" max="10735" width="9.140625" style="48"/>
    <col min="10736" max="10736" width="7.42578125" style="48" bestFit="1" customWidth="1"/>
    <col min="10737" max="10737" width="18.5703125" style="48" customWidth="1"/>
    <col min="10738" max="10741" width="15.28515625" style="48" customWidth="1"/>
    <col min="10742" max="10742" width="16.28515625" style="48" customWidth="1"/>
    <col min="10743" max="10743" width="15.28515625" style="48" customWidth="1"/>
    <col min="10744" max="10744" width="6.5703125" style="48" customWidth="1"/>
    <col min="10745" max="10745" width="27" style="48" customWidth="1"/>
    <col min="10746" max="10746" width="17" style="48" bestFit="1" customWidth="1"/>
    <col min="10747" max="10748" width="8.140625" style="48" customWidth="1"/>
    <col min="10749" max="10749" width="9.85546875" style="48" customWidth="1"/>
    <col min="10750" max="10750" width="13.7109375" style="48" bestFit="1" customWidth="1"/>
    <col min="10751" max="10752" width="9.140625" style="48"/>
    <col min="10753" max="10753" width="11.5703125" style="48" bestFit="1" customWidth="1"/>
    <col min="10754" max="10991" width="9.140625" style="48"/>
    <col min="10992" max="10992" width="7.42578125" style="48" bestFit="1" customWidth="1"/>
    <col min="10993" max="10993" width="18.5703125" style="48" customWidth="1"/>
    <col min="10994" max="10997" width="15.28515625" style="48" customWidth="1"/>
    <col min="10998" max="10998" width="16.28515625" style="48" customWidth="1"/>
    <col min="10999" max="10999" width="15.28515625" style="48" customWidth="1"/>
    <col min="11000" max="11000" width="6.5703125" style="48" customWidth="1"/>
    <col min="11001" max="11001" width="27" style="48" customWidth="1"/>
    <col min="11002" max="11002" width="17" style="48" bestFit="1" customWidth="1"/>
    <col min="11003" max="11004" width="8.140625" style="48" customWidth="1"/>
    <col min="11005" max="11005" width="9.85546875" style="48" customWidth="1"/>
    <col min="11006" max="11006" width="13.7109375" style="48" bestFit="1" customWidth="1"/>
    <col min="11007" max="11008" width="9.140625" style="48"/>
    <col min="11009" max="11009" width="11.5703125" style="48" bestFit="1" customWidth="1"/>
    <col min="11010" max="11247" width="9.140625" style="48"/>
    <col min="11248" max="11248" width="7.42578125" style="48" bestFit="1" customWidth="1"/>
    <col min="11249" max="11249" width="18.5703125" style="48" customWidth="1"/>
    <col min="11250" max="11253" width="15.28515625" style="48" customWidth="1"/>
    <col min="11254" max="11254" width="16.28515625" style="48" customWidth="1"/>
    <col min="11255" max="11255" width="15.28515625" style="48" customWidth="1"/>
    <col min="11256" max="11256" width="6.5703125" style="48" customWidth="1"/>
    <col min="11257" max="11257" width="27" style="48" customWidth="1"/>
    <col min="11258" max="11258" width="17" style="48" bestFit="1" customWidth="1"/>
    <col min="11259" max="11260" width="8.140625" style="48" customWidth="1"/>
    <col min="11261" max="11261" width="9.85546875" style="48" customWidth="1"/>
    <col min="11262" max="11262" width="13.7109375" style="48" bestFit="1" customWidth="1"/>
    <col min="11263" max="11264" width="9.140625" style="48"/>
    <col min="11265" max="11265" width="11.5703125" style="48" bestFit="1" customWidth="1"/>
    <col min="11266" max="11503" width="9.140625" style="48"/>
    <col min="11504" max="11504" width="7.42578125" style="48" bestFit="1" customWidth="1"/>
    <col min="11505" max="11505" width="18.5703125" style="48" customWidth="1"/>
    <col min="11506" max="11509" width="15.28515625" style="48" customWidth="1"/>
    <col min="11510" max="11510" width="16.28515625" style="48" customWidth="1"/>
    <col min="11511" max="11511" width="15.28515625" style="48" customWidth="1"/>
    <col min="11512" max="11512" width="6.5703125" style="48" customWidth="1"/>
    <col min="11513" max="11513" width="27" style="48" customWidth="1"/>
    <col min="11514" max="11514" width="17" style="48" bestFit="1" customWidth="1"/>
    <col min="11515" max="11516" width="8.140625" style="48" customWidth="1"/>
    <col min="11517" max="11517" width="9.85546875" style="48" customWidth="1"/>
    <col min="11518" max="11518" width="13.7109375" style="48" bestFit="1" customWidth="1"/>
    <col min="11519" max="11520" width="9.140625" style="48"/>
    <col min="11521" max="11521" width="11.5703125" style="48" bestFit="1" customWidth="1"/>
    <col min="11522" max="11759" width="9.140625" style="48"/>
    <col min="11760" max="11760" width="7.42578125" style="48" bestFit="1" customWidth="1"/>
    <col min="11761" max="11761" width="18.5703125" style="48" customWidth="1"/>
    <col min="11762" max="11765" width="15.28515625" style="48" customWidth="1"/>
    <col min="11766" max="11766" width="16.28515625" style="48" customWidth="1"/>
    <col min="11767" max="11767" width="15.28515625" style="48" customWidth="1"/>
    <col min="11768" max="11768" width="6.5703125" style="48" customWidth="1"/>
    <col min="11769" max="11769" width="27" style="48" customWidth="1"/>
    <col min="11770" max="11770" width="17" style="48" bestFit="1" customWidth="1"/>
    <col min="11771" max="11772" width="8.140625" style="48" customWidth="1"/>
    <col min="11773" max="11773" width="9.85546875" style="48" customWidth="1"/>
    <col min="11774" max="11774" width="13.7109375" style="48" bestFit="1" customWidth="1"/>
    <col min="11775" max="11776" width="9.140625" style="48"/>
    <col min="11777" max="11777" width="11.5703125" style="48" bestFit="1" customWidth="1"/>
    <col min="11778" max="12015" width="9.140625" style="48"/>
    <col min="12016" max="12016" width="7.42578125" style="48" bestFit="1" customWidth="1"/>
    <col min="12017" max="12017" width="18.5703125" style="48" customWidth="1"/>
    <col min="12018" max="12021" width="15.28515625" style="48" customWidth="1"/>
    <col min="12022" max="12022" width="16.28515625" style="48" customWidth="1"/>
    <col min="12023" max="12023" width="15.28515625" style="48" customWidth="1"/>
    <col min="12024" max="12024" width="6.5703125" style="48" customWidth="1"/>
    <col min="12025" max="12025" width="27" style="48" customWidth="1"/>
    <col min="12026" max="12026" width="17" style="48" bestFit="1" customWidth="1"/>
    <col min="12027" max="12028" width="8.140625" style="48" customWidth="1"/>
    <col min="12029" max="12029" width="9.85546875" style="48" customWidth="1"/>
    <col min="12030" max="12030" width="13.7109375" style="48" bestFit="1" customWidth="1"/>
    <col min="12031" max="12032" width="9.140625" style="48"/>
    <col min="12033" max="12033" width="11.5703125" style="48" bestFit="1" customWidth="1"/>
    <col min="12034" max="12271" width="9.140625" style="48"/>
    <col min="12272" max="12272" width="7.42578125" style="48" bestFit="1" customWidth="1"/>
    <col min="12273" max="12273" width="18.5703125" style="48" customWidth="1"/>
    <col min="12274" max="12277" width="15.28515625" style="48" customWidth="1"/>
    <col min="12278" max="12278" width="16.28515625" style="48" customWidth="1"/>
    <col min="12279" max="12279" width="15.28515625" style="48" customWidth="1"/>
    <col min="12280" max="12280" width="6.5703125" style="48" customWidth="1"/>
    <col min="12281" max="12281" width="27" style="48" customWidth="1"/>
    <col min="12282" max="12282" width="17" style="48" bestFit="1" customWidth="1"/>
    <col min="12283" max="12284" width="8.140625" style="48" customWidth="1"/>
    <col min="12285" max="12285" width="9.85546875" style="48" customWidth="1"/>
    <col min="12286" max="12286" width="13.7109375" style="48" bestFit="1" customWidth="1"/>
    <col min="12287" max="12288" width="9.140625" style="48"/>
    <col min="12289" max="12289" width="11.5703125" style="48" bestFit="1" customWidth="1"/>
    <col min="12290" max="12527" width="9.140625" style="48"/>
    <col min="12528" max="12528" width="7.42578125" style="48" bestFit="1" customWidth="1"/>
    <col min="12529" max="12529" width="18.5703125" style="48" customWidth="1"/>
    <col min="12530" max="12533" width="15.28515625" style="48" customWidth="1"/>
    <col min="12534" max="12534" width="16.28515625" style="48" customWidth="1"/>
    <col min="12535" max="12535" width="15.28515625" style="48" customWidth="1"/>
    <col min="12536" max="12536" width="6.5703125" style="48" customWidth="1"/>
    <col min="12537" max="12537" width="27" style="48" customWidth="1"/>
    <col min="12538" max="12538" width="17" style="48" bestFit="1" customWidth="1"/>
    <col min="12539" max="12540" width="8.140625" style="48" customWidth="1"/>
    <col min="12541" max="12541" width="9.85546875" style="48" customWidth="1"/>
    <col min="12542" max="12542" width="13.7109375" style="48" bestFit="1" customWidth="1"/>
    <col min="12543" max="12544" width="9.140625" style="48"/>
    <col min="12545" max="12545" width="11.5703125" style="48" bestFit="1" customWidth="1"/>
    <col min="12546" max="12783" width="9.140625" style="48"/>
    <col min="12784" max="12784" width="7.42578125" style="48" bestFit="1" customWidth="1"/>
    <col min="12785" max="12785" width="18.5703125" style="48" customWidth="1"/>
    <col min="12786" max="12789" width="15.28515625" style="48" customWidth="1"/>
    <col min="12790" max="12790" width="16.28515625" style="48" customWidth="1"/>
    <col min="12791" max="12791" width="15.28515625" style="48" customWidth="1"/>
    <col min="12792" max="12792" width="6.5703125" style="48" customWidth="1"/>
    <col min="12793" max="12793" width="27" style="48" customWidth="1"/>
    <col min="12794" max="12794" width="17" style="48" bestFit="1" customWidth="1"/>
    <col min="12795" max="12796" width="8.140625" style="48" customWidth="1"/>
    <col min="12797" max="12797" width="9.85546875" style="48" customWidth="1"/>
    <col min="12798" max="12798" width="13.7109375" style="48" bestFit="1" customWidth="1"/>
    <col min="12799" max="12800" width="9.140625" style="48"/>
    <col min="12801" max="12801" width="11.5703125" style="48" bestFit="1" customWidth="1"/>
    <col min="12802" max="13039" width="9.140625" style="48"/>
    <col min="13040" max="13040" width="7.42578125" style="48" bestFit="1" customWidth="1"/>
    <col min="13041" max="13041" width="18.5703125" style="48" customWidth="1"/>
    <col min="13042" max="13045" width="15.28515625" style="48" customWidth="1"/>
    <col min="13046" max="13046" width="16.28515625" style="48" customWidth="1"/>
    <col min="13047" max="13047" width="15.28515625" style="48" customWidth="1"/>
    <col min="13048" max="13048" width="6.5703125" style="48" customWidth="1"/>
    <col min="13049" max="13049" width="27" style="48" customWidth="1"/>
    <col min="13050" max="13050" width="17" style="48" bestFit="1" customWidth="1"/>
    <col min="13051" max="13052" width="8.140625" style="48" customWidth="1"/>
    <col min="13053" max="13053" width="9.85546875" style="48" customWidth="1"/>
    <col min="13054" max="13054" width="13.7109375" style="48" bestFit="1" customWidth="1"/>
    <col min="13055" max="13056" width="9.140625" style="48"/>
    <col min="13057" max="13057" width="11.5703125" style="48" bestFit="1" customWidth="1"/>
    <col min="13058" max="13295" width="9.140625" style="48"/>
    <col min="13296" max="13296" width="7.42578125" style="48" bestFit="1" customWidth="1"/>
    <col min="13297" max="13297" width="18.5703125" style="48" customWidth="1"/>
    <col min="13298" max="13301" width="15.28515625" style="48" customWidth="1"/>
    <col min="13302" max="13302" width="16.28515625" style="48" customWidth="1"/>
    <col min="13303" max="13303" width="15.28515625" style="48" customWidth="1"/>
    <col min="13304" max="13304" width="6.5703125" style="48" customWidth="1"/>
    <col min="13305" max="13305" width="27" style="48" customWidth="1"/>
    <col min="13306" max="13306" width="17" style="48" bestFit="1" customWidth="1"/>
    <col min="13307" max="13308" width="8.140625" style="48" customWidth="1"/>
    <col min="13309" max="13309" width="9.85546875" style="48" customWidth="1"/>
    <col min="13310" max="13310" width="13.7109375" style="48" bestFit="1" customWidth="1"/>
    <col min="13311" max="13312" width="9.140625" style="48"/>
    <col min="13313" max="13313" width="11.5703125" style="48" bestFit="1" customWidth="1"/>
    <col min="13314" max="13551" width="9.140625" style="48"/>
    <col min="13552" max="13552" width="7.42578125" style="48" bestFit="1" customWidth="1"/>
    <col min="13553" max="13553" width="18.5703125" style="48" customWidth="1"/>
    <col min="13554" max="13557" width="15.28515625" style="48" customWidth="1"/>
    <col min="13558" max="13558" width="16.28515625" style="48" customWidth="1"/>
    <col min="13559" max="13559" width="15.28515625" style="48" customWidth="1"/>
    <col min="13560" max="13560" width="6.5703125" style="48" customWidth="1"/>
    <col min="13561" max="13561" width="27" style="48" customWidth="1"/>
    <col min="13562" max="13562" width="17" style="48" bestFit="1" customWidth="1"/>
    <col min="13563" max="13564" width="8.140625" style="48" customWidth="1"/>
    <col min="13565" max="13565" width="9.85546875" style="48" customWidth="1"/>
    <col min="13566" max="13566" width="13.7109375" style="48" bestFit="1" customWidth="1"/>
    <col min="13567" max="13568" width="9.140625" style="48"/>
    <col min="13569" max="13569" width="11.5703125" style="48" bestFit="1" customWidth="1"/>
    <col min="13570" max="13807" width="9.140625" style="48"/>
    <col min="13808" max="13808" width="7.42578125" style="48" bestFit="1" customWidth="1"/>
    <col min="13809" max="13809" width="18.5703125" style="48" customWidth="1"/>
    <col min="13810" max="13813" width="15.28515625" style="48" customWidth="1"/>
    <col min="13814" max="13814" width="16.28515625" style="48" customWidth="1"/>
    <col min="13815" max="13815" width="15.28515625" style="48" customWidth="1"/>
    <col min="13816" max="13816" width="6.5703125" style="48" customWidth="1"/>
    <col min="13817" max="13817" width="27" style="48" customWidth="1"/>
    <col min="13818" max="13818" width="17" style="48" bestFit="1" customWidth="1"/>
    <col min="13819" max="13820" width="8.140625" style="48" customWidth="1"/>
    <col min="13821" max="13821" width="9.85546875" style="48" customWidth="1"/>
    <col min="13822" max="13822" width="13.7109375" style="48" bestFit="1" customWidth="1"/>
    <col min="13823" max="13824" width="9.140625" style="48"/>
    <col min="13825" max="13825" width="11.5703125" style="48" bestFit="1" customWidth="1"/>
    <col min="13826" max="14063" width="9.140625" style="48"/>
    <col min="14064" max="14064" width="7.42578125" style="48" bestFit="1" customWidth="1"/>
    <col min="14065" max="14065" width="18.5703125" style="48" customWidth="1"/>
    <col min="14066" max="14069" width="15.28515625" style="48" customWidth="1"/>
    <col min="14070" max="14070" width="16.28515625" style="48" customWidth="1"/>
    <col min="14071" max="14071" width="15.28515625" style="48" customWidth="1"/>
    <col min="14072" max="14072" width="6.5703125" style="48" customWidth="1"/>
    <col min="14073" max="14073" width="27" style="48" customWidth="1"/>
    <col min="14074" max="14074" width="17" style="48" bestFit="1" customWidth="1"/>
    <col min="14075" max="14076" width="8.140625" style="48" customWidth="1"/>
    <col min="14077" max="14077" width="9.85546875" style="48" customWidth="1"/>
    <col min="14078" max="14078" width="13.7109375" style="48" bestFit="1" customWidth="1"/>
    <col min="14079" max="14080" width="9.140625" style="48"/>
    <col min="14081" max="14081" width="11.5703125" style="48" bestFit="1" customWidth="1"/>
    <col min="14082" max="14319" width="9.140625" style="48"/>
    <col min="14320" max="14320" width="7.42578125" style="48" bestFit="1" customWidth="1"/>
    <col min="14321" max="14321" width="18.5703125" style="48" customWidth="1"/>
    <col min="14322" max="14325" width="15.28515625" style="48" customWidth="1"/>
    <col min="14326" max="14326" width="16.28515625" style="48" customWidth="1"/>
    <col min="14327" max="14327" width="15.28515625" style="48" customWidth="1"/>
    <col min="14328" max="14328" width="6.5703125" style="48" customWidth="1"/>
    <col min="14329" max="14329" width="27" style="48" customWidth="1"/>
    <col min="14330" max="14330" width="17" style="48" bestFit="1" customWidth="1"/>
    <col min="14331" max="14332" width="8.140625" style="48" customWidth="1"/>
    <col min="14333" max="14333" width="9.85546875" style="48" customWidth="1"/>
    <col min="14334" max="14334" width="13.7109375" style="48" bestFit="1" customWidth="1"/>
    <col min="14335" max="14336" width="9.140625" style="48"/>
    <col min="14337" max="14337" width="11.5703125" style="48" bestFit="1" customWidth="1"/>
    <col min="14338" max="14575" width="9.140625" style="48"/>
    <col min="14576" max="14576" width="7.42578125" style="48" bestFit="1" customWidth="1"/>
    <col min="14577" max="14577" width="18.5703125" style="48" customWidth="1"/>
    <col min="14578" max="14581" width="15.28515625" style="48" customWidth="1"/>
    <col min="14582" max="14582" width="16.28515625" style="48" customWidth="1"/>
    <col min="14583" max="14583" width="15.28515625" style="48" customWidth="1"/>
    <col min="14584" max="14584" width="6.5703125" style="48" customWidth="1"/>
    <col min="14585" max="14585" width="27" style="48" customWidth="1"/>
    <col min="14586" max="14586" width="17" style="48" bestFit="1" customWidth="1"/>
    <col min="14587" max="14588" width="8.140625" style="48" customWidth="1"/>
    <col min="14589" max="14589" width="9.85546875" style="48" customWidth="1"/>
    <col min="14590" max="14590" width="13.7109375" style="48" bestFit="1" customWidth="1"/>
    <col min="14591" max="14592" width="9.140625" style="48"/>
    <col min="14593" max="14593" width="11.5703125" style="48" bestFit="1" customWidth="1"/>
    <col min="14594" max="14831" width="9.140625" style="48"/>
    <col min="14832" max="14832" width="7.42578125" style="48" bestFit="1" customWidth="1"/>
    <col min="14833" max="14833" width="18.5703125" style="48" customWidth="1"/>
    <col min="14834" max="14837" width="15.28515625" style="48" customWidth="1"/>
    <col min="14838" max="14838" width="16.28515625" style="48" customWidth="1"/>
    <col min="14839" max="14839" width="15.28515625" style="48" customWidth="1"/>
    <col min="14840" max="14840" width="6.5703125" style="48" customWidth="1"/>
    <col min="14841" max="14841" width="27" style="48" customWidth="1"/>
    <col min="14842" max="14842" width="17" style="48" bestFit="1" customWidth="1"/>
    <col min="14843" max="14844" width="8.140625" style="48" customWidth="1"/>
    <col min="14845" max="14845" width="9.85546875" style="48" customWidth="1"/>
    <col min="14846" max="14846" width="13.7109375" style="48" bestFit="1" customWidth="1"/>
    <col min="14847" max="14848" width="9.140625" style="48"/>
    <col min="14849" max="14849" width="11.5703125" style="48" bestFit="1" customWidth="1"/>
    <col min="14850" max="15087" width="9.140625" style="48"/>
    <col min="15088" max="15088" width="7.42578125" style="48" bestFit="1" customWidth="1"/>
    <col min="15089" max="15089" width="18.5703125" style="48" customWidth="1"/>
    <col min="15090" max="15093" width="15.28515625" style="48" customWidth="1"/>
    <col min="15094" max="15094" width="16.28515625" style="48" customWidth="1"/>
    <col min="15095" max="15095" width="15.28515625" style="48" customWidth="1"/>
    <col min="15096" max="15096" width="6.5703125" style="48" customWidth="1"/>
    <col min="15097" max="15097" width="27" style="48" customWidth="1"/>
    <col min="15098" max="15098" width="17" style="48" bestFit="1" customWidth="1"/>
    <col min="15099" max="15100" width="8.140625" style="48" customWidth="1"/>
    <col min="15101" max="15101" width="9.85546875" style="48" customWidth="1"/>
    <col min="15102" max="15102" width="13.7109375" style="48" bestFit="1" customWidth="1"/>
    <col min="15103" max="15104" width="9.140625" style="48"/>
    <col min="15105" max="15105" width="11.5703125" style="48" bestFit="1" customWidth="1"/>
    <col min="15106" max="15343" width="9.140625" style="48"/>
    <col min="15344" max="15344" width="7.42578125" style="48" bestFit="1" customWidth="1"/>
    <col min="15345" max="15345" width="18.5703125" style="48" customWidth="1"/>
    <col min="15346" max="15349" width="15.28515625" style="48" customWidth="1"/>
    <col min="15350" max="15350" width="16.28515625" style="48" customWidth="1"/>
    <col min="15351" max="15351" width="15.28515625" style="48" customWidth="1"/>
    <col min="15352" max="15352" width="6.5703125" style="48" customWidth="1"/>
    <col min="15353" max="15353" width="27" style="48" customWidth="1"/>
    <col min="15354" max="15354" width="17" style="48" bestFit="1" customWidth="1"/>
    <col min="15355" max="15356" width="8.140625" style="48" customWidth="1"/>
    <col min="15357" max="15357" width="9.85546875" style="48" customWidth="1"/>
    <col min="15358" max="15358" width="13.7109375" style="48" bestFit="1" customWidth="1"/>
    <col min="15359" max="15360" width="9.140625" style="48"/>
    <col min="15361" max="15361" width="11.5703125" style="48" bestFit="1" customWidth="1"/>
    <col min="15362" max="15599" width="9.140625" style="48"/>
    <col min="15600" max="15600" width="7.42578125" style="48" bestFit="1" customWidth="1"/>
    <col min="15601" max="15601" width="18.5703125" style="48" customWidth="1"/>
    <col min="15602" max="15605" width="15.28515625" style="48" customWidth="1"/>
    <col min="15606" max="15606" width="16.28515625" style="48" customWidth="1"/>
    <col min="15607" max="15607" width="15.28515625" style="48" customWidth="1"/>
    <col min="15608" max="15608" width="6.5703125" style="48" customWidth="1"/>
    <col min="15609" max="15609" width="27" style="48" customWidth="1"/>
    <col min="15610" max="15610" width="17" style="48" bestFit="1" customWidth="1"/>
    <col min="15611" max="15612" width="8.140625" style="48" customWidth="1"/>
    <col min="15613" max="15613" width="9.85546875" style="48" customWidth="1"/>
    <col min="15614" max="15614" width="13.7109375" style="48" bestFit="1" customWidth="1"/>
    <col min="15615" max="15616" width="9.140625" style="48"/>
    <col min="15617" max="15617" width="11.5703125" style="48" bestFit="1" customWidth="1"/>
    <col min="15618" max="15855" width="9.140625" style="48"/>
    <col min="15856" max="15856" width="7.42578125" style="48" bestFit="1" customWidth="1"/>
    <col min="15857" max="15857" width="18.5703125" style="48" customWidth="1"/>
    <col min="15858" max="15861" width="15.28515625" style="48" customWidth="1"/>
    <col min="15862" max="15862" width="16.28515625" style="48" customWidth="1"/>
    <col min="15863" max="15863" width="15.28515625" style="48" customWidth="1"/>
    <col min="15864" max="15864" width="6.5703125" style="48" customWidth="1"/>
    <col min="15865" max="15865" width="27" style="48" customWidth="1"/>
    <col min="15866" max="15866" width="17" style="48" bestFit="1" customWidth="1"/>
    <col min="15867" max="15868" width="8.140625" style="48" customWidth="1"/>
    <col min="15869" max="15869" width="9.85546875" style="48" customWidth="1"/>
    <col min="15870" max="15870" width="13.7109375" style="48" bestFit="1" customWidth="1"/>
    <col min="15871" max="15872" width="9.140625" style="48"/>
    <col min="15873" max="15873" width="11.5703125" style="48" bestFit="1" customWidth="1"/>
    <col min="15874" max="16111" width="9.140625" style="48"/>
    <col min="16112" max="16112" width="7.42578125" style="48" bestFit="1" customWidth="1"/>
    <col min="16113" max="16113" width="18.5703125" style="48" customWidth="1"/>
    <col min="16114" max="16117" width="15.28515625" style="48" customWidth="1"/>
    <col min="16118" max="16118" width="16.28515625" style="48" customWidth="1"/>
    <col min="16119" max="16119" width="15.28515625" style="48" customWidth="1"/>
    <col min="16120" max="16120" width="6.5703125" style="48" customWidth="1"/>
    <col min="16121" max="16121" width="27" style="48" customWidth="1"/>
    <col min="16122" max="16122" width="17" style="48" bestFit="1" customWidth="1"/>
    <col min="16123" max="16124" width="8.140625" style="48" customWidth="1"/>
    <col min="16125" max="16125" width="9.85546875" style="48" customWidth="1"/>
    <col min="16126" max="16126" width="13.7109375" style="48" bestFit="1" customWidth="1"/>
    <col min="16127" max="16128" width="9.140625" style="48"/>
    <col min="16129" max="16129" width="11.5703125" style="48" bestFit="1" customWidth="1"/>
    <col min="16130" max="16384" width="9.140625" style="48"/>
  </cols>
  <sheetData>
    <row r="1" spans="1:22" ht="15" customHeight="1">
      <c r="A1" s="865" t="s">
        <v>405</v>
      </c>
      <c r="B1" s="866"/>
      <c r="C1" s="866"/>
      <c r="D1" s="866"/>
      <c r="E1" s="866"/>
      <c r="F1" s="866"/>
      <c r="G1" s="866"/>
      <c r="H1" s="866"/>
      <c r="I1" s="866"/>
      <c r="J1" s="867"/>
      <c r="M1" s="47"/>
      <c r="N1" s="47"/>
      <c r="O1" s="47"/>
      <c r="P1" s="47"/>
      <c r="Q1" s="47"/>
      <c r="R1" s="47"/>
      <c r="S1" s="47" t="s">
        <v>568</v>
      </c>
      <c r="T1" s="682">
        <v>35.299999999999997</v>
      </c>
      <c r="U1" s="47"/>
      <c r="V1" s="47"/>
    </row>
    <row r="2" spans="1:22" ht="15" customHeight="1" thickBot="1">
      <c r="A2" s="862" t="s">
        <v>569</v>
      </c>
      <c r="B2" s="863"/>
      <c r="C2" s="863"/>
      <c r="D2" s="863"/>
      <c r="E2" s="863"/>
      <c r="F2" s="863"/>
      <c r="G2" s="863"/>
      <c r="H2" s="863"/>
      <c r="I2" s="863"/>
      <c r="J2" s="864"/>
      <c r="M2" s="683" t="s">
        <v>481</v>
      </c>
      <c r="N2" s="683"/>
      <c r="O2" s="683"/>
      <c r="P2" s="683" t="s">
        <v>485</v>
      </c>
      <c r="Q2" s="683"/>
      <c r="R2" s="47"/>
      <c r="S2" s="47" t="s">
        <v>567</v>
      </c>
      <c r="T2" s="47"/>
      <c r="U2" s="47"/>
      <c r="V2" s="47"/>
    </row>
    <row r="3" spans="1:22" ht="15" customHeight="1">
      <c r="A3" s="229" t="s">
        <v>66</v>
      </c>
      <c r="B3" s="158"/>
      <c r="C3" s="230" t="str">
        <f>ORÇAMENTO!C5</f>
        <v>Estrada Passo Salseiro</v>
      </c>
      <c r="D3" s="149"/>
      <c r="E3" s="149"/>
      <c r="F3" s="149"/>
      <c r="G3" s="149"/>
      <c r="H3" s="149"/>
      <c r="I3" s="149"/>
      <c r="J3" s="207"/>
      <c r="M3" s="683" t="s">
        <v>388</v>
      </c>
      <c r="N3" s="683">
        <v>13.1</v>
      </c>
      <c r="O3" s="683"/>
      <c r="P3" s="683" t="s">
        <v>486</v>
      </c>
      <c r="Q3" s="697">
        <v>3464</v>
      </c>
      <c r="R3" s="47"/>
      <c r="S3" s="47" t="s">
        <v>494</v>
      </c>
      <c r="T3" s="47"/>
      <c r="U3" s="47">
        <v>0.45</v>
      </c>
      <c r="V3" s="682">
        <v>8.9</v>
      </c>
    </row>
    <row r="4" spans="1:22" ht="15" customHeight="1">
      <c r="A4" s="229" t="s">
        <v>65</v>
      </c>
      <c r="B4" s="158"/>
      <c r="C4" s="230" t="str">
        <f>ORÇAMENTO!C6</f>
        <v>Est. 0+00 - Est. 45+00</v>
      </c>
      <c r="D4" s="208"/>
      <c r="E4" s="208"/>
      <c r="F4" s="208"/>
      <c r="G4" s="208"/>
      <c r="H4" s="209"/>
      <c r="I4" s="563" t="s">
        <v>207</v>
      </c>
      <c r="J4" s="210">
        <v>900</v>
      </c>
      <c r="M4" s="683" t="s">
        <v>482</v>
      </c>
      <c r="N4" s="683">
        <v>46.6</v>
      </c>
      <c r="O4" s="683"/>
      <c r="P4" s="47" t="s">
        <v>558</v>
      </c>
      <c r="Q4" s="679">
        <f>Q3*0.95</f>
        <v>3290.7999999999997</v>
      </c>
      <c r="R4" s="47"/>
      <c r="S4" s="47" t="s">
        <v>495</v>
      </c>
      <c r="T4" s="47">
        <f>(V3+V4)/2</f>
        <v>8.6999999999999993</v>
      </c>
      <c r="U4" s="682">
        <v>0.2</v>
      </c>
      <c r="V4" s="682">
        <v>8.5</v>
      </c>
    </row>
    <row r="5" spans="1:22" ht="15" customHeight="1">
      <c r="A5" s="599" t="s">
        <v>75</v>
      </c>
      <c r="B5" s="619" t="s">
        <v>55</v>
      </c>
      <c r="C5" s="543"/>
      <c r="D5" s="543"/>
      <c r="E5" s="543"/>
      <c r="F5" s="543"/>
      <c r="G5" s="543"/>
      <c r="H5" s="544"/>
      <c r="I5" s="545"/>
      <c r="J5" s="546"/>
      <c r="M5" s="47"/>
      <c r="N5" s="47"/>
      <c r="O5" s="47"/>
      <c r="P5" s="47" t="s">
        <v>559</v>
      </c>
      <c r="Q5" s="679">
        <f>Q3-Q4</f>
        <v>173.20000000000027</v>
      </c>
      <c r="R5" s="47"/>
      <c r="S5" s="47" t="s">
        <v>496</v>
      </c>
      <c r="T5" s="47">
        <f>(V4+V5)/2</f>
        <v>8.3000000000000007</v>
      </c>
      <c r="U5" s="682">
        <v>0.2</v>
      </c>
      <c r="V5" s="682">
        <v>8.1</v>
      </c>
    </row>
    <row r="6" spans="1:22" ht="15" customHeight="1">
      <c r="A6" s="621" t="s">
        <v>54</v>
      </c>
      <c r="B6" s="670" t="s">
        <v>85</v>
      </c>
      <c r="C6" s="623"/>
      <c r="D6" s="623"/>
      <c r="E6" s="623"/>
      <c r="F6" s="623"/>
      <c r="G6" s="623"/>
      <c r="H6" s="624"/>
      <c r="I6" s="622"/>
      <c r="J6" s="625"/>
      <c r="M6" s="47"/>
      <c r="N6" s="47"/>
      <c r="O6" s="47"/>
      <c r="P6" s="683" t="s">
        <v>487</v>
      </c>
      <c r="Q6" s="697">
        <v>117</v>
      </c>
      <c r="R6" s="47"/>
      <c r="S6" s="47" t="s">
        <v>497</v>
      </c>
      <c r="T6" s="682">
        <f>(V6)</f>
        <v>8</v>
      </c>
      <c r="U6" s="682">
        <v>0.05</v>
      </c>
      <c r="V6" s="682">
        <v>8</v>
      </c>
    </row>
    <row r="7" spans="1:22" ht="15" customHeight="1">
      <c r="A7" s="211" t="s">
        <v>86</v>
      </c>
      <c r="B7" s="212" t="s">
        <v>124</v>
      </c>
      <c r="C7" s="594"/>
      <c r="D7" s="594"/>
      <c r="E7" s="594"/>
      <c r="F7" s="594"/>
      <c r="G7" s="594"/>
      <c r="H7" s="213"/>
      <c r="I7" s="212"/>
      <c r="J7" s="221"/>
    </row>
    <row r="8" spans="1:22" s="47" customFormat="1" ht="15" customHeight="1">
      <c r="A8" s="214" t="s">
        <v>121</v>
      </c>
      <c r="B8" s="212" t="s">
        <v>574</v>
      </c>
      <c r="C8" s="594"/>
      <c r="D8" s="594"/>
      <c r="E8" s="594"/>
      <c r="F8" s="594"/>
      <c r="G8" s="594"/>
      <c r="H8" s="213"/>
      <c r="I8" s="212"/>
      <c r="J8" s="221"/>
    </row>
    <row r="9" spans="1:22" s="47" customFormat="1" ht="15" customHeight="1">
      <c r="A9" s="211"/>
      <c r="B9" s="626" t="s">
        <v>120</v>
      </c>
      <c r="C9" s="627" t="s">
        <v>573</v>
      </c>
      <c r="D9" s="212"/>
      <c r="E9" s="212"/>
      <c r="F9" s="212"/>
      <c r="G9" s="212"/>
      <c r="H9" s="215">
        <v>2.88</v>
      </c>
      <c r="I9" s="216" t="s">
        <v>90</v>
      </c>
      <c r="J9" s="221"/>
    </row>
    <row r="10" spans="1:22" s="47" customFormat="1" ht="15" customHeight="1">
      <c r="A10" s="211"/>
      <c r="B10" s="217"/>
      <c r="C10" s="212"/>
      <c r="D10" s="212"/>
      <c r="E10" s="212"/>
      <c r="F10" s="212"/>
      <c r="G10" s="212"/>
      <c r="H10" s="213"/>
      <c r="I10" s="212"/>
      <c r="J10" s="221"/>
    </row>
    <row r="11" spans="1:22" s="47" customFormat="1" ht="15" customHeight="1">
      <c r="A11" s="211" t="s">
        <v>87</v>
      </c>
      <c r="B11" s="212" t="s">
        <v>67</v>
      </c>
      <c r="C11" s="594"/>
      <c r="D11" s="594"/>
      <c r="E11" s="594"/>
      <c r="F11" s="594"/>
      <c r="G11" s="594"/>
      <c r="H11" s="628"/>
      <c r="I11" s="629"/>
      <c r="J11" s="630"/>
    </row>
    <row r="12" spans="1:22" ht="15" customHeight="1">
      <c r="A12" s="214" t="s">
        <v>121</v>
      </c>
      <c r="B12" s="212" t="s">
        <v>575</v>
      </c>
      <c r="C12" s="594"/>
      <c r="D12" s="594"/>
      <c r="E12" s="594"/>
      <c r="F12" s="594"/>
      <c r="G12" s="594"/>
      <c r="H12" s="213"/>
      <c r="I12" s="212"/>
      <c r="J12" s="221"/>
    </row>
    <row r="13" spans="1:22" ht="15" customHeight="1">
      <c r="A13" s="214"/>
      <c r="B13" s="631" t="s">
        <v>161</v>
      </c>
      <c r="C13" s="631" t="s">
        <v>159</v>
      </c>
      <c r="D13" s="631" t="s">
        <v>160</v>
      </c>
      <c r="E13" s="631" t="s">
        <v>162</v>
      </c>
      <c r="F13" s="631" t="s">
        <v>470</v>
      </c>
      <c r="G13" s="594"/>
      <c r="H13" s="631" t="s">
        <v>163</v>
      </c>
      <c r="I13" s="212"/>
      <c r="J13" s="221"/>
    </row>
    <row r="14" spans="1:22" ht="15" customHeight="1">
      <c r="A14" s="214"/>
      <c r="B14" s="631">
        <v>0</v>
      </c>
      <c r="C14" s="631" t="s">
        <v>469</v>
      </c>
      <c r="D14" s="631" t="s">
        <v>189</v>
      </c>
      <c r="E14" s="632">
        <f>J4</f>
        <v>900</v>
      </c>
      <c r="F14" s="632">
        <v>1</v>
      </c>
      <c r="G14" s="594"/>
      <c r="H14" s="633">
        <f t="shared" ref="H14:H15" si="0">E14*F14</f>
        <v>900</v>
      </c>
      <c r="I14" s="212"/>
      <c r="J14" s="221"/>
    </row>
    <row r="15" spans="1:22" ht="15" customHeight="1">
      <c r="A15" s="214"/>
      <c r="B15" s="631">
        <v>0</v>
      </c>
      <c r="C15" s="631" t="s">
        <v>469</v>
      </c>
      <c r="D15" s="631" t="s">
        <v>164</v>
      </c>
      <c r="E15" s="632">
        <f>J4</f>
        <v>900</v>
      </c>
      <c r="F15" s="632">
        <v>1</v>
      </c>
      <c r="G15" s="594"/>
      <c r="H15" s="633">
        <f t="shared" si="0"/>
        <v>900</v>
      </c>
      <c r="I15" s="212"/>
      <c r="J15" s="221"/>
    </row>
    <row r="16" spans="1:22" s="47" customFormat="1" ht="15" customHeight="1">
      <c r="A16" s="214"/>
      <c r="B16" s="634" t="s">
        <v>74</v>
      </c>
      <c r="C16" s="635"/>
      <c r="D16" s="636"/>
      <c r="E16" s="636"/>
      <c r="F16" s="636"/>
      <c r="G16" s="636"/>
      <c r="H16" s="637">
        <f>H14+H15</f>
        <v>1800</v>
      </c>
      <c r="I16" s="216" t="s">
        <v>90</v>
      </c>
      <c r="J16" s="221"/>
    </row>
    <row r="17" spans="1:10" s="47" customFormat="1" ht="15" customHeight="1">
      <c r="A17" s="214"/>
      <c r="B17" s="638"/>
      <c r="C17" s="629"/>
      <c r="D17" s="629"/>
      <c r="E17" s="629"/>
      <c r="F17" s="629"/>
      <c r="G17" s="629"/>
      <c r="H17" s="628"/>
      <c r="I17" s="629"/>
      <c r="J17" s="630"/>
    </row>
    <row r="18" spans="1:10" s="47" customFormat="1" ht="15" customHeight="1">
      <c r="A18" s="211" t="s">
        <v>88</v>
      </c>
      <c r="B18" s="212" t="s">
        <v>144</v>
      </c>
      <c r="C18" s="212"/>
      <c r="D18" s="212"/>
      <c r="E18" s="212"/>
      <c r="F18" s="212"/>
      <c r="G18" s="212"/>
      <c r="H18" s="213"/>
      <c r="I18" s="212"/>
      <c r="J18" s="221"/>
    </row>
    <row r="19" spans="1:10" s="47" customFormat="1" ht="15" customHeight="1">
      <c r="A19" s="214" t="s">
        <v>121</v>
      </c>
      <c r="B19" s="212" t="s">
        <v>147</v>
      </c>
      <c r="C19" s="212"/>
      <c r="D19" s="212"/>
      <c r="E19" s="212"/>
      <c r="F19" s="212"/>
      <c r="G19" s="212"/>
      <c r="H19" s="213"/>
      <c r="I19" s="212"/>
      <c r="J19" s="221"/>
    </row>
    <row r="20" spans="1:10" s="47" customFormat="1" ht="15" customHeight="1">
      <c r="A20" s="211"/>
      <c r="B20" s="212" t="s">
        <v>127</v>
      </c>
      <c r="C20" s="212"/>
      <c r="D20" s="212"/>
      <c r="E20" s="212"/>
      <c r="F20" s="212"/>
      <c r="G20" s="212"/>
      <c r="H20" s="215">
        <f>H16*0.2</f>
        <v>360</v>
      </c>
      <c r="I20" s="216" t="s">
        <v>91</v>
      </c>
      <c r="J20" s="221"/>
    </row>
    <row r="21" spans="1:10" s="47" customFormat="1" ht="15" customHeight="1">
      <c r="A21" s="211"/>
      <c r="B21" s="217"/>
      <c r="C21" s="212"/>
      <c r="D21" s="212"/>
      <c r="E21" s="212"/>
      <c r="F21" s="212"/>
      <c r="G21" s="212"/>
      <c r="H21" s="213"/>
      <c r="I21" s="212"/>
      <c r="J21" s="221"/>
    </row>
    <row r="22" spans="1:10" s="47" customFormat="1" ht="15" customHeight="1">
      <c r="A22" s="211" t="s">
        <v>122</v>
      </c>
      <c r="B22" s="212" t="s">
        <v>471</v>
      </c>
      <c r="C22" s="212"/>
      <c r="D22" s="212"/>
      <c r="E22" s="212"/>
      <c r="F22" s="212"/>
      <c r="G22" s="212"/>
      <c r="H22" s="213"/>
      <c r="I22" s="212"/>
      <c r="J22" s="221"/>
    </row>
    <row r="23" spans="1:10" s="47" customFormat="1" ht="15" customHeight="1">
      <c r="A23" s="214" t="s">
        <v>121</v>
      </c>
      <c r="B23" s="212" t="s">
        <v>390</v>
      </c>
      <c r="C23" s="212"/>
      <c r="D23" s="212"/>
      <c r="E23" s="631"/>
      <c r="F23" s="631"/>
      <c r="G23" s="212"/>
      <c r="H23" s="213"/>
      <c r="I23" s="212"/>
      <c r="J23" s="221"/>
    </row>
    <row r="24" spans="1:10" s="47" customFormat="1" ht="15" customHeight="1">
      <c r="A24" s="211"/>
      <c r="B24" s="212" t="s">
        <v>576</v>
      </c>
      <c r="C24" s="594"/>
      <c r="D24" s="594"/>
      <c r="E24" s="639"/>
      <c r="F24" s="640"/>
      <c r="G24" s="212"/>
      <c r="H24" s="215">
        <f>H20*1.25*N3</f>
        <v>5895</v>
      </c>
      <c r="I24" s="216" t="s">
        <v>143</v>
      </c>
      <c r="J24" s="221"/>
    </row>
    <row r="25" spans="1:10" s="47" customFormat="1" ht="15" customHeight="1">
      <c r="A25" s="211"/>
      <c r="B25" s="217"/>
      <c r="C25" s="212"/>
      <c r="D25" s="212"/>
      <c r="E25" s="212"/>
      <c r="F25" s="212"/>
      <c r="G25" s="212"/>
      <c r="H25" s="213"/>
      <c r="I25" s="212"/>
      <c r="J25" s="221"/>
    </row>
    <row r="26" spans="1:10" s="47" customFormat="1" ht="15" customHeight="1">
      <c r="A26" s="211" t="s">
        <v>145</v>
      </c>
      <c r="B26" s="212" t="s">
        <v>125</v>
      </c>
      <c r="C26" s="212"/>
      <c r="D26" s="212"/>
      <c r="E26" s="212"/>
      <c r="F26" s="212"/>
      <c r="G26" s="212"/>
      <c r="H26" s="213"/>
      <c r="I26" s="212"/>
      <c r="J26" s="221"/>
    </row>
    <row r="27" spans="1:10" s="47" customFormat="1" ht="15" customHeight="1">
      <c r="A27" s="214" t="s">
        <v>121</v>
      </c>
      <c r="B27" s="212" t="s">
        <v>126</v>
      </c>
      <c r="C27" s="212"/>
      <c r="D27" s="212"/>
      <c r="E27" s="212"/>
      <c r="F27" s="212"/>
      <c r="G27" s="212"/>
      <c r="H27" s="213"/>
      <c r="I27" s="212"/>
      <c r="J27" s="221"/>
    </row>
    <row r="28" spans="1:10" s="47" customFormat="1" ht="15" customHeight="1">
      <c r="A28" s="211"/>
      <c r="B28" s="212" t="s">
        <v>127</v>
      </c>
      <c r="C28" s="212"/>
      <c r="D28" s="212"/>
      <c r="E28" s="212"/>
      <c r="F28" s="212"/>
      <c r="G28" s="212"/>
      <c r="H28" s="215">
        <f>H16*0.2</f>
        <v>360</v>
      </c>
      <c r="I28" s="216" t="s">
        <v>91</v>
      </c>
      <c r="J28" s="221"/>
    </row>
    <row r="29" spans="1:10" s="47" customFormat="1" ht="15" customHeight="1">
      <c r="A29" s="211"/>
      <c r="B29" s="217"/>
      <c r="C29" s="212"/>
      <c r="D29" s="212"/>
      <c r="E29" s="212"/>
      <c r="F29" s="212"/>
      <c r="G29" s="212"/>
      <c r="H29" s="213"/>
      <c r="I29" s="212"/>
      <c r="J29" s="221"/>
    </row>
    <row r="30" spans="1:10" s="47" customFormat="1" ht="15" customHeight="1">
      <c r="A30" s="671" t="s">
        <v>53</v>
      </c>
      <c r="B30" s="670" t="s">
        <v>128</v>
      </c>
      <c r="C30" s="623"/>
      <c r="D30" s="594"/>
      <c r="E30" s="594"/>
      <c r="F30" s="594"/>
      <c r="G30" s="594"/>
      <c r="H30" s="628"/>
      <c r="I30" s="629"/>
      <c r="J30" s="630"/>
    </row>
    <row r="31" spans="1:10" ht="15" customHeight="1">
      <c r="A31" s="211" t="s">
        <v>94</v>
      </c>
      <c r="B31" s="212" t="s">
        <v>68</v>
      </c>
      <c r="C31" s="212"/>
      <c r="D31" s="212"/>
      <c r="E31" s="212"/>
      <c r="F31" s="212"/>
      <c r="G31" s="212"/>
      <c r="H31" s="213"/>
      <c r="I31" s="212"/>
      <c r="J31" s="221"/>
    </row>
    <row r="32" spans="1:10" s="47" customFormat="1" ht="15" customHeight="1">
      <c r="A32" s="214" t="s">
        <v>121</v>
      </c>
      <c r="B32" s="212" t="s">
        <v>577</v>
      </c>
      <c r="C32" s="212"/>
      <c r="D32" s="212"/>
      <c r="E32" s="212"/>
      <c r="F32" s="212"/>
      <c r="G32" s="212"/>
      <c r="H32" s="213" t="s">
        <v>8</v>
      </c>
      <c r="I32" s="212"/>
      <c r="J32" s="221"/>
    </row>
    <row r="33" spans="1:10" ht="15" customHeight="1">
      <c r="A33" s="214"/>
      <c r="B33" s="631" t="s">
        <v>161</v>
      </c>
      <c r="C33" s="631" t="s">
        <v>159</v>
      </c>
      <c r="D33" s="631" t="s">
        <v>160</v>
      </c>
      <c r="E33" s="631" t="s">
        <v>162</v>
      </c>
      <c r="F33" s="631" t="s">
        <v>470</v>
      </c>
      <c r="G33" s="631" t="s">
        <v>475</v>
      </c>
      <c r="H33" s="631" t="s">
        <v>163</v>
      </c>
      <c r="I33" s="212"/>
      <c r="J33" s="221"/>
    </row>
    <row r="34" spans="1:10" ht="15" customHeight="1">
      <c r="A34" s="214"/>
      <c r="B34" s="631">
        <v>23</v>
      </c>
      <c r="C34" s="631">
        <v>28</v>
      </c>
      <c r="D34" s="631" t="s">
        <v>189</v>
      </c>
      <c r="E34" s="632">
        <v>100</v>
      </c>
      <c r="F34" s="632">
        <v>2</v>
      </c>
      <c r="G34" s="631">
        <v>0.15</v>
      </c>
      <c r="H34" s="213">
        <f>E34*F34*G34</f>
        <v>30</v>
      </c>
      <c r="I34" s="212"/>
      <c r="J34" s="221"/>
    </row>
    <row r="35" spans="1:10" ht="15" customHeight="1">
      <c r="A35" s="214"/>
      <c r="B35" s="631">
        <v>23</v>
      </c>
      <c r="C35" s="631">
        <v>28</v>
      </c>
      <c r="D35" s="631" t="s">
        <v>164</v>
      </c>
      <c r="E35" s="632">
        <v>100</v>
      </c>
      <c r="F35" s="632">
        <v>2</v>
      </c>
      <c r="G35" s="631">
        <v>0.15</v>
      </c>
      <c r="H35" s="213">
        <f>E35*F35*G35</f>
        <v>30</v>
      </c>
      <c r="I35" s="212"/>
      <c r="J35" s="221"/>
    </row>
    <row r="36" spans="1:10" s="47" customFormat="1" ht="15" customHeight="1">
      <c r="A36" s="214"/>
      <c r="B36" s="594" t="s">
        <v>8</v>
      </c>
      <c r="C36" s="594"/>
      <c r="D36" s="594"/>
      <c r="E36" s="641">
        <v>510</v>
      </c>
      <c r="F36" s="641">
        <v>5</v>
      </c>
      <c r="G36" s="641">
        <v>0.4</v>
      </c>
      <c r="H36" s="215">
        <f>SUM(H34:H35)</f>
        <v>60</v>
      </c>
      <c r="I36" s="216" t="s">
        <v>91</v>
      </c>
      <c r="J36" s="221"/>
    </row>
    <row r="37" spans="1:10" s="47" customFormat="1" ht="15" customHeight="1">
      <c r="A37" s="214"/>
      <c r="B37" s="212" t="s">
        <v>8</v>
      </c>
      <c r="C37" s="212"/>
      <c r="D37" s="212"/>
      <c r="E37" s="212"/>
      <c r="F37" s="212"/>
      <c r="G37" s="212"/>
      <c r="H37" s="218">
        <f>SUM(H32:H36)</f>
        <v>120</v>
      </c>
      <c r="I37" s="219" t="s">
        <v>91</v>
      </c>
      <c r="J37" s="221"/>
    </row>
    <row r="38" spans="1:10" s="47" customFormat="1" ht="15" customHeight="1">
      <c r="A38" s="211" t="s">
        <v>95</v>
      </c>
      <c r="B38" s="212" t="s">
        <v>144</v>
      </c>
      <c r="C38" s="212"/>
      <c r="D38" s="212"/>
      <c r="E38" s="212"/>
      <c r="F38" s="212"/>
      <c r="G38" s="212"/>
      <c r="H38" s="213"/>
      <c r="I38" s="212"/>
      <c r="J38" s="221"/>
    </row>
    <row r="39" spans="1:10" s="47" customFormat="1" ht="15" customHeight="1">
      <c r="A39" s="214" t="s">
        <v>121</v>
      </c>
      <c r="B39" s="212" t="s">
        <v>148</v>
      </c>
      <c r="C39" s="212"/>
      <c r="D39" s="212"/>
      <c r="E39" s="212"/>
      <c r="F39" s="212"/>
      <c r="G39" s="212"/>
      <c r="H39" s="213" t="s">
        <v>8</v>
      </c>
      <c r="I39" s="212"/>
      <c r="J39" s="221"/>
    </row>
    <row r="40" spans="1:10" s="47" customFormat="1" ht="15" customHeight="1">
      <c r="A40" s="214"/>
      <c r="B40" s="212" t="s">
        <v>198</v>
      </c>
      <c r="C40" s="212"/>
      <c r="D40" s="212"/>
      <c r="E40" s="212"/>
      <c r="F40" s="212"/>
      <c r="G40" s="212"/>
      <c r="H40" s="215">
        <f>H36</f>
        <v>60</v>
      </c>
      <c r="I40" s="216" t="s">
        <v>91</v>
      </c>
      <c r="J40" s="221"/>
    </row>
    <row r="41" spans="1:10" s="47" customFormat="1" ht="15" customHeight="1">
      <c r="A41" s="211"/>
      <c r="B41" s="212" t="s">
        <v>8</v>
      </c>
      <c r="C41" s="212"/>
      <c r="D41" s="212"/>
      <c r="E41" s="212"/>
      <c r="F41" s="212"/>
      <c r="G41" s="212"/>
      <c r="H41" s="594"/>
      <c r="I41" s="594"/>
      <c r="J41" s="221"/>
    </row>
    <row r="42" spans="1:10" s="47" customFormat="1" ht="15" customHeight="1">
      <c r="A42" s="211" t="s">
        <v>96</v>
      </c>
      <c r="B42" s="212" t="s">
        <v>472</v>
      </c>
      <c r="C42" s="212"/>
      <c r="D42" s="212"/>
      <c r="E42" s="212"/>
      <c r="F42" s="212"/>
      <c r="G42" s="212"/>
      <c r="H42" s="213"/>
      <c r="I42" s="212"/>
      <c r="J42" s="221"/>
    </row>
    <row r="43" spans="1:10" s="47" customFormat="1" ht="15" customHeight="1">
      <c r="A43" s="214" t="s">
        <v>121</v>
      </c>
      <c r="B43" s="212" t="s">
        <v>170</v>
      </c>
      <c r="C43" s="212"/>
      <c r="D43" s="212"/>
      <c r="E43" s="212"/>
      <c r="F43" s="212"/>
      <c r="G43" s="212"/>
      <c r="H43" s="213"/>
      <c r="I43" s="212"/>
      <c r="J43" s="221"/>
    </row>
    <row r="44" spans="1:10" s="47" customFormat="1" ht="15" customHeight="1">
      <c r="A44" s="211"/>
      <c r="B44" s="212" t="s">
        <v>477</v>
      </c>
      <c r="C44" s="212"/>
      <c r="D44" s="212"/>
      <c r="E44" s="212"/>
      <c r="F44" s="212"/>
      <c r="G44" s="212"/>
      <c r="H44" s="215">
        <f>H36*1.25*N3</f>
        <v>982.5</v>
      </c>
      <c r="I44" s="216" t="s">
        <v>143</v>
      </c>
      <c r="J44" s="221"/>
    </row>
    <row r="45" spans="1:10" s="47" customFormat="1" ht="15" customHeight="1">
      <c r="A45" s="211"/>
      <c r="B45" s="217"/>
      <c r="C45" s="212"/>
      <c r="D45" s="212"/>
      <c r="E45" s="212"/>
      <c r="F45" s="212"/>
      <c r="G45" s="212"/>
      <c r="H45" s="213"/>
      <c r="I45" s="212"/>
      <c r="J45" s="221"/>
    </row>
    <row r="46" spans="1:10" s="47" customFormat="1" ht="15" customHeight="1">
      <c r="A46" s="211" t="s">
        <v>97</v>
      </c>
      <c r="B46" s="212" t="s">
        <v>125</v>
      </c>
      <c r="C46" s="212"/>
      <c r="D46" s="212"/>
      <c r="E46" s="212"/>
      <c r="F46" s="212"/>
      <c r="G46" s="212"/>
      <c r="H46" s="213"/>
      <c r="I46" s="212"/>
      <c r="J46" s="221"/>
    </row>
    <row r="47" spans="1:10" s="47" customFormat="1" ht="15" customHeight="1">
      <c r="A47" s="214" t="s">
        <v>121</v>
      </c>
      <c r="B47" s="212" t="s">
        <v>126</v>
      </c>
      <c r="C47" s="212"/>
      <c r="D47" s="212"/>
      <c r="E47" s="212"/>
      <c r="F47" s="212"/>
      <c r="G47" s="212"/>
      <c r="H47" s="213"/>
      <c r="I47" s="212"/>
      <c r="J47" s="221"/>
    </row>
    <row r="48" spans="1:10" s="47" customFormat="1" ht="15" customHeight="1">
      <c r="A48" s="211"/>
      <c r="B48" s="212" t="s">
        <v>198</v>
      </c>
      <c r="C48" s="212"/>
      <c r="D48" s="212"/>
      <c r="E48" s="212"/>
      <c r="F48" s="212"/>
      <c r="G48" s="212"/>
      <c r="H48" s="215">
        <f>H36</f>
        <v>60</v>
      </c>
      <c r="I48" s="216" t="s">
        <v>91</v>
      </c>
      <c r="J48" s="221"/>
    </row>
    <row r="49" spans="1:10" s="47" customFormat="1" ht="15" customHeight="1">
      <c r="A49" s="211"/>
      <c r="B49" s="217"/>
      <c r="C49" s="212"/>
      <c r="D49" s="212"/>
      <c r="E49" s="212"/>
      <c r="F49" s="212"/>
      <c r="G49" s="212"/>
      <c r="H49" s="213"/>
      <c r="I49" s="212"/>
      <c r="J49" s="221"/>
    </row>
    <row r="50" spans="1:10" s="47" customFormat="1" ht="15" customHeight="1">
      <c r="A50" s="211" t="s">
        <v>98</v>
      </c>
      <c r="B50" s="334" t="s">
        <v>92</v>
      </c>
      <c r="C50" s="212"/>
      <c r="D50" s="212"/>
      <c r="E50" s="212"/>
      <c r="F50" s="212"/>
      <c r="G50" s="212"/>
      <c r="H50" s="213"/>
      <c r="I50" s="212"/>
      <c r="J50" s="221"/>
    </row>
    <row r="51" spans="1:10" s="47" customFormat="1" ht="15" customHeight="1">
      <c r="A51" s="214" t="s">
        <v>121</v>
      </c>
      <c r="B51" s="212" t="s">
        <v>198</v>
      </c>
      <c r="C51" s="212"/>
      <c r="D51" s="212"/>
      <c r="E51" s="212"/>
      <c r="F51" s="212"/>
      <c r="G51" s="212"/>
      <c r="H51" s="215">
        <f>H36</f>
        <v>60</v>
      </c>
      <c r="I51" s="216" t="s">
        <v>91</v>
      </c>
      <c r="J51" s="221"/>
    </row>
    <row r="52" spans="1:10" s="47" customFormat="1" ht="15" customHeight="1">
      <c r="A52" s="211"/>
      <c r="B52" s="217"/>
      <c r="C52" s="212"/>
      <c r="D52" s="212"/>
      <c r="E52" s="212"/>
      <c r="F52" s="212"/>
      <c r="G52" s="212"/>
      <c r="H52" s="213"/>
      <c r="I52" s="212"/>
      <c r="J52" s="221"/>
    </row>
    <row r="53" spans="1:10" s="47" customFormat="1" ht="15" customHeight="1">
      <c r="A53" s="211" t="s">
        <v>146</v>
      </c>
      <c r="B53" s="212" t="s">
        <v>478</v>
      </c>
      <c r="C53" s="212"/>
      <c r="D53" s="212"/>
      <c r="E53" s="212"/>
      <c r="F53" s="212"/>
      <c r="G53" s="212"/>
      <c r="H53" s="213"/>
      <c r="I53" s="212"/>
      <c r="J53" s="221"/>
    </row>
    <row r="54" spans="1:10" s="47" customFormat="1" ht="15" customHeight="1">
      <c r="A54" s="214" t="s">
        <v>121</v>
      </c>
      <c r="B54" s="212" t="s">
        <v>578</v>
      </c>
      <c r="C54" s="212"/>
      <c r="D54" s="212"/>
      <c r="E54" s="212"/>
      <c r="F54" s="212"/>
      <c r="G54" s="212"/>
      <c r="H54" s="213"/>
      <c r="I54" s="212"/>
      <c r="J54" s="221"/>
    </row>
    <row r="55" spans="1:10" s="47" customFormat="1" ht="15" customHeight="1">
      <c r="A55" s="211"/>
      <c r="B55" s="212" t="s">
        <v>480</v>
      </c>
      <c r="C55" s="212"/>
      <c r="D55" s="212"/>
      <c r="E55" s="212"/>
      <c r="F55" s="212"/>
      <c r="G55" s="212"/>
      <c r="H55" s="215">
        <f>H51*1.15*N4</f>
        <v>3215.4</v>
      </c>
      <c r="I55" s="216" t="s">
        <v>143</v>
      </c>
      <c r="J55" s="221"/>
    </row>
    <row r="56" spans="1:10" s="47" customFormat="1" ht="15" customHeight="1">
      <c r="A56" s="211"/>
      <c r="B56" s="212"/>
      <c r="C56" s="212"/>
      <c r="D56" s="212"/>
      <c r="E56" s="212"/>
      <c r="F56" s="212"/>
      <c r="G56" s="212"/>
      <c r="H56" s="215"/>
      <c r="I56" s="216"/>
      <c r="J56" s="221"/>
    </row>
    <row r="57" spans="1:10" s="47" customFormat="1" ht="15" customHeight="1">
      <c r="A57" s="211" t="s">
        <v>374</v>
      </c>
      <c r="B57" s="212" t="s">
        <v>391</v>
      </c>
      <c r="C57" s="212"/>
      <c r="D57" s="212"/>
      <c r="E57" s="212"/>
      <c r="F57" s="212"/>
      <c r="G57" s="212"/>
      <c r="H57" s="213"/>
      <c r="I57" s="212"/>
      <c r="J57" s="221"/>
    </row>
    <row r="58" spans="1:10" s="47" customFormat="1" ht="15" customHeight="1">
      <c r="A58" s="214" t="s">
        <v>121</v>
      </c>
      <c r="B58" s="212" t="s">
        <v>582</v>
      </c>
      <c r="C58" s="212"/>
      <c r="D58" s="212"/>
      <c r="E58" s="212"/>
      <c r="F58" s="212"/>
      <c r="G58" s="212"/>
      <c r="H58" s="213"/>
      <c r="I58" s="212"/>
      <c r="J58" s="221"/>
    </row>
    <row r="59" spans="1:10" s="47" customFormat="1" ht="15" customHeight="1">
      <c r="A59" s="211"/>
      <c r="B59" s="212" t="s">
        <v>583</v>
      </c>
      <c r="C59" s="212"/>
      <c r="D59" s="212"/>
      <c r="E59" s="212"/>
      <c r="F59" s="212"/>
      <c r="G59" s="212"/>
      <c r="H59" s="215">
        <f>H51*1.7</f>
        <v>102</v>
      </c>
      <c r="I59" s="216" t="s">
        <v>69</v>
      </c>
      <c r="J59" s="221"/>
    </row>
    <row r="60" spans="1:10" s="47" customFormat="1" ht="15" customHeight="1">
      <c r="A60" s="211"/>
      <c r="B60" s="217"/>
      <c r="C60" s="212"/>
      <c r="D60" s="212"/>
      <c r="E60" s="212"/>
      <c r="F60" s="212"/>
      <c r="G60" s="212"/>
      <c r="H60" s="213"/>
      <c r="I60" s="212"/>
      <c r="J60" s="221"/>
    </row>
    <row r="61" spans="1:10" s="47" customFormat="1" ht="15" customHeight="1">
      <c r="A61" s="671" t="s">
        <v>52</v>
      </c>
      <c r="B61" s="670" t="s">
        <v>129</v>
      </c>
      <c r="C61" s="594"/>
      <c r="D61" s="594"/>
      <c r="E61" s="594"/>
      <c r="F61" s="594"/>
      <c r="G61" s="594"/>
      <c r="H61" s="628"/>
      <c r="I61" s="629"/>
      <c r="J61" s="630"/>
    </row>
    <row r="62" spans="1:10" ht="15" customHeight="1">
      <c r="A62" s="170" t="s">
        <v>99</v>
      </c>
      <c r="B62" s="642" t="s">
        <v>483</v>
      </c>
      <c r="C62" s="594"/>
      <c r="D62" s="594"/>
      <c r="E62" s="594"/>
      <c r="F62" s="594"/>
      <c r="G62" s="594"/>
      <c r="H62" s="628"/>
      <c r="I62" s="629"/>
      <c r="J62" s="630"/>
    </row>
    <row r="63" spans="1:10" ht="15" customHeight="1">
      <c r="A63" s="214" t="s">
        <v>121</v>
      </c>
      <c r="B63" s="212" t="s">
        <v>560</v>
      </c>
      <c r="C63" s="594"/>
      <c r="D63" s="594"/>
      <c r="E63" s="594"/>
      <c r="F63" s="594"/>
      <c r="G63" s="594"/>
      <c r="H63" s="628">
        <f>Q4</f>
        <v>3290.7999999999997</v>
      </c>
      <c r="I63" s="216" t="s">
        <v>91</v>
      </c>
      <c r="J63" s="630"/>
    </row>
    <row r="64" spans="1:10" ht="15" customHeight="1">
      <c r="A64" s="214"/>
      <c r="B64" s="629"/>
      <c r="C64" s="594"/>
      <c r="D64" s="594"/>
      <c r="E64" s="594"/>
      <c r="F64" s="594"/>
      <c r="G64" s="594"/>
      <c r="H64" s="628"/>
      <c r="I64" s="629"/>
      <c r="J64" s="630"/>
    </row>
    <row r="65" spans="1:10" ht="15" customHeight="1">
      <c r="A65" s="170" t="s">
        <v>106</v>
      </c>
      <c r="B65" s="642" t="s">
        <v>484</v>
      </c>
      <c r="C65" s="594"/>
      <c r="D65" s="594"/>
      <c r="E65" s="594"/>
      <c r="F65" s="594"/>
      <c r="G65" s="594"/>
      <c r="H65" s="628"/>
      <c r="I65" s="629"/>
      <c r="J65" s="630"/>
    </row>
    <row r="66" spans="1:10" ht="15" customHeight="1">
      <c r="A66" s="214" t="s">
        <v>121</v>
      </c>
      <c r="B66" s="212" t="s">
        <v>561</v>
      </c>
      <c r="C66" s="594"/>
      <c r="D66" s="594"/>
      <c r="E66" s="594"/>
      <c r="F66" s="594"/>
      <c r="G66" s="594"/>
      <c r="H66" s="628">
        <f>Q5</f>
        <v>173.20000000000027</v>
      </c>
      <c r="I66" s="216" t="s">
        <v>91</v>
      </c>
      <c r="J66" s="630"/>
    </row>
    <row r="67" spans="1:10" ht="15" customHeight="1">
      <c r="A67" s="214"/>
      <c r="B67" s="629"/>
      <c r="C67" s="594"/>
      <c r="D67" s="594"/>
      <c r="E67" s="594"/>
      <c r="F67" s="594"/>
      <c r="G67" s="594"/>
      <c r="H67" s="628"/>
      <c r="I67" s="629"/>
      <c r="J67" s="630"/>
    </row>
    <row r="68" spans="1:10" s="47" customFormat="1" ht="15" customHeight="1">
      <c r="A68" s="211" t="s">
        <v>107</v>
      </c>
      <c r="B68" s="212" t="s">
        <v>393</v>
      </c>
      <c r="C68" s="212"/>
      <c r="D68" s="212"/>
      <c r="E68" s="212"/>
      <c r="F68" s="212"/>
      <c r="G68" s="212"/>
      <c r="H68" s="213"/>
      <c r="I68" s="212"/>
      <c r="J68" s="221"/>
    </row>
    <row r="69" spans="1:10" s="47" customFormat="1" ht="15" customHeight="1">
      <c r="A69" s="214" t="s">
        <v>121</v>
      </c>
      <c r="B69" s="212" t="s">
        <v>126</v>
      </c>
      <c r="C69" s="212"/>
      <c r="D69" s="212"/>
      <c r="E69" s="212"/>
      <c r="F69" s="212"/>
      <c r="G69" s="212"/>
      <c r="H69" s="213"/>
      <c r="I69" s="212"/>
      <c r="J69" s="221"/>
    </row>
    <row r="70" spans="1:10" s="47" customFormat="1" ht="15" customHeight="1">
      <c r="A70" s="211"/>
      <c r="B70" s="212" t="s">
        <v>394</v>
      </c>
      <c r="C70" s="212"/>
      <c r="D70" s="212"/>
      <c r="E70" s="212"/>
      <c r="F70" s="212"/>
      <c r="G70" s="212"/>
      <c r="H70" s="215">
        <f>H63+H66</f>
        <v>3464</v>
      </c>
      <c r="I70" s="216" t="s">
        <v>91</v>
      </c>
      <c r="J70" s="221"/>
    </row>
    <row r="71" spans="1:10" s="47" customFormat="1" ht="15" customHeight="1">
      <c r="A71" s="211"/>
      <c r="B71" s="212"/>
      <c r="C71" s="212"/>
      <c r="D71" s="212"/>
      <c r="E71" s="212"/>
      <c r="F71" s="212"/>
      <c r="G71" s="212"/>
      <c r="H71" s="215"/>
      <c r="I71" s="216"/>
      <c r="J71" s="221"/>
    </row>
    <row r="72" spans="1:10" ht="15" customHeight="1">
      <c r="A72" s="211" t="s">
        <v>108</v>
      </c>
      <c r="B72" s="212" t="s">
        <v>473</v>
      </c>
      <c r="C72" s="212"/>
      <c r="D72" s="212"/>
      <c r="E72" s="212"/>
      <c r="F72" s="212"/>
      <c r="G72" s="212"/>
      <c r="H72" s="213"/>
      <c r="I72" s="212"/>
      <c r="J72" s="221"/>
    </row>
    <row r="73" spans="1:10" s="47" customFormat="1" ht="15" customHeight="1">
      <c r="A73" s="214" t="s">
        <v>121</v>
      </c>
      <c r="B73" s="212" t="s">
        <v>579</v>
      </c>
      <c r="C73" s="212"/>
      <c r="D73" s="212"/>
      <c r="E73" s="212"/>
      <c r="F73" s="212"/>
      <c r="G73" s="212"/>
      <c r="H73" s="213"/>
      <c r="I73" s="212"/>
      <c r="J73" s="221"/>
    </row>
    <row r="74" spans="1:10" s="47" customFormat="1" ht="15" customHeight="1">
      <c r="A74" s="214"/>
      <c r="B74" s="212" t="s">
        <v>581</v>
      </c>
      <c r="C74" s="212"/>
      <c r="D74" s="212"/>
      <c r="E74" s="212"/>
      <c r="F74" s="212"/>
      <c r="G74" s="212"/>
      <c r="H74" s="215">
        <f>((H63*1.25+H66*1)-(H81))*N3</f>
        <v>54623.070000000007</v>
      </c>
      <c r="I74" s="216" t="s">
        <v>143</v>
      </c>
      <c r="J74" s="221"/>
    </row>
    <row r="75" spans="1:10" s="47" customFormat="1" ht="15" customHeight="1">
      <c r="A75" s="211"/>
      <c r="B75" s="212" t="s">
        <v>8</v>
      </c>
      <c r="C75" s="212"/>
      <c r="D75" s="212"/>
      <c r="E75" s="212"/>
      <c r="F75" s="212"/>
      <c r="G75" s="212"/>
      <c r="H75" s="218">
        <f>SUM(H74)</f>
        <v>54623.070000000007</v>
      </c>
      <c r="I75" s="219" t="s">
        <v>143</v>
      </c>
      <c r="J75" s="221"/>
    </row>
    <row r="76" spans="1:10" s="47" customFormat="1" ht="15" customHeight="1">
      <c r="A76" s="211" t="s">
        <v>248</v>
      </c>
      <c r="B76" s="212" t="s">
        <v>125</v>
      </c>
      <c r="C76" s="212"/>
      <c r="D76" s="212"/>
      <c r="E76" s="212"/>
      <c r="F76" s="212"/>
      <c r="G76" s="212"/>
      <c r="H76" s="213"/>
      <c r="I76" s="212"/>
      <c r="J76" s="221"/>
    </row>
    <row r="77" spans="1:10" s="47" customFormat="1" ht="15" customHeight="1">
      <c r="A77" s="214" t="s">
        <v>121</v>
      </c>
      <c r="B77" s="212" t="s">
        <v>580</v>
      </c>
      <c r="C77" s="212"/>
      <c r="D77" s="212"/>
      <c r="E77" s="212"/>
      <c r="F77" s="212"/>
      <c r="G77" s="212"/>
      <c r="H77" s="213"/>
      <c r="I77" s="212"/>
      <c r="J77" s="221"/>
    </row>
    <row r="78" spans="1:10" s="47" customFormat="1" ht="15" customHeight="1">
      <c r="A78" s="214"/>
      <c r="B78" s="212" t="s">
        <v>643</v>
      </c>
      <c r="C78" s="212"/>
      <c r="D78" s="212"/>
      <c r="E78" s="212"/>
      <c r="F78" s="212"/>
      <c r="G78" s="212"/>
      <c r="H78" s="215">
        <f>(H63*1.25+H66*1)-(H81)</f>
        <v>4169.7000000000007</v>
      </c>
      <c r="I78" s="216" t="s">
        <v>91</v>
      </c>
      <c r="J78" s="221"/>
    </row>
    <row r="79" spans="1:10" s="47" customFormat="1" ht="15" customHeight="1">
      <c r="A79" s="211"/>
      <c r="B79" s="212" t="s">
        <v>8</v>
      </c>
      <c r="C79" s="212"/>
      <c r="D79" s="212"/>
      <c r="E79" s="212"/>
      <c r="F79" s="212"/>
      <c r="G79" s="212"/>
      <c r="H79" s="218">
        <f>SUM(H78)</f>
        <v>4169.7000000000007</v>
      </c>
      <c r="I79" s="219" t="s">
        <v>91</v>
      </c>
      <c r="J79" s="221"/>
    </row>
    <row r="80" spans="1:10" ht="15" customHeight="1">
      <c r="A80" s="211" t="s">
        <v>382</v>
      </c>
      <c r="B80" s="212" t="s">
        <v>130</v>
      </c>
      <c r="C80" s="212"/>
      <c r="D80" s="212"/>
      <c r="E80" s="212"/>
      <c r="F80" s="212"/>
      <c r="G80" s="212"/>
      <c r="H80" s="213"/>
      <c r="I80" s="212"/>
      <c r="J80" s="221"/>
    </row>
    <row r="81" spans="1:17" s="47" customFormat="1" ht="15" customHeight="1">
      <c r="A81" s="214" t="s">
        <v>121</v>
      </c>
      <c r="B81" s="212" t="s">
        <v>584</v>
      </c>
      <c r="C81" s="212"/>
      <c r="D81" s="212"/>
      <c r="E81" s="212"/>
      <c r="F81" s="212"/>
      <c r="G81" s="212"/>
      <c r="H81" s="215">
        <f>Q6</f>
        <v>117</v>
      </c>
      <c r="I81" s="216" t="s">
        <v>91</v>
      </c>
      <c r="J81" s="221"/>
    </row>
    <row r="82" spans="1:17" s="47" customFormat="1" ht="15" customHeight="1">
      <c r="A82" s="211"/>
      <c r="B82" s="212" t="s">
        <v>8</v>
      </c>
      <c r="C82" s="212"/>
      <c r="D82" s="212"/>
      <c r="E82" s="212"/>
      <c r="F82" s="212"/>
      <c r="G82" s="212"/>
      <c r="H82" s="594"/>
      <c r="I82" s="594"/>
      <c r="J82" s="221"/>
      <c r="K82" s="576"/>
      <c r="L82" s="576"/>
      <c r="M82" s="576"/>
      <c r="N82" s="576"/>
      <c r="O82" s="576"/>
      <c r="P82" s="576"/>
      <c r="Q82" s="576"/>
    </row>
    <row r="83" spans="1:17" ht="15" customHeight="1">
      <c r="A83" s="566" t="s">
        <v>459</v>
      </c>
      <c r="B83" s="567" t="s">
        <v>489</v>
      </c>
      <c r="C83" s="567"/>
      <c r="D83" s="567"/>
      <c r="E83" s="567"/>
      <c r="F83" s="567"/>
      <c r="G83" s="567"/>
      <c r="H83" s="567"/>
      <c r="I83" s="567"/>
      <c r="J83" s="573"/>
      <c r="K83" s="577"/>
      <c r="L83" s="583"/>
      <c r="M83" s="585"/>
      <c r="N83" s="579"/>
      <c r="O83" s="579"/>
      <c r="P83" s="579"/>
      <c r="Q83" s="578"/>
    </row>
    <row r="84" spans="1:17" s="47" customFormat="1" ht="15" customHeight="1">
      <c r="A84" s="568" t="s">
        <v>121</v>
      </c>
      <c r="B84" s="212" t="s">
        <v>476</v>
      </c>
      <c r="C84" s="212"/>
      <c r="D84" s="212"/>
      <c r="E84" s="212"/>
      <c r="F84" s="212"/>
      <c r="G84" s="212"/>
      <c r="H84" s="213" t="s">
        <v>8</v>
      </c>
      <c r="I84" s="212"/>
      <c r="J84" s="573"/>
      <c r="K84" s="580"/>
      <c r="L84" s="584"/>
      <c r="M84" s="586"/>
      <c r="N84" s="581"/>
      <c r="O84" s="581"/>
      <c r="P84" s="581"/>
      <c r="Q84" s="576"/>
    </row>
    <row r="85" spans="1:17" s="47" customFormat="1" ht="15" customHeight="1">
      <c r="A85" s="566"/>
      <c r="B85" s="631" t="s">
        <v>161</v>
      </c>
      <c r="C85" s="631" t="s">
        <v>159</v>
      </c>
      <c r="D85" s="631" t="s">
        <v>160</v>
      </c>
      <c r="E85" s="631" t="s">
        <v>162</v>
      </c>
      <c r="F85" s="631" t="s">
        <v>490</v>
      </c>
      <c r="G85" s="631"/>
      <c r="H85" s="631" t="s">
        <v>163</v>
      </c>
      <c r="I85" s="212"/>
      <c r="J85" s="573"/>
      <c r="K85" s="576"/>
      <c r="L85" s="576"/>
      <c r="M85" s="576"/>
      <c r="N85" s="581"/>
      <c r="O85" s="576"/>
      <c r="P85" s="576"/>
      <c r="Q85" s="576"/>
    </row>
    <row r="86" spans="1:17" s="47" customFormat="1" ht="15" customHeight="1">
      <c r="A86" s="566"/>
      <c r="B86" s="631">
        <v>0</v>
      </c>
      <c r="C86" s="631" t="s">
        <v>469</v>
      </c>
      <c r="D86" s="631" t="s">
        <v>164</v>
      </c>
      <c r="E86" s="632">
        <v>900</v>
      </c>
      <c r="F86" s="632">
        <v>0.3</v>
      </c>
      <c r="G86" s="631"/>
      <c r="H86" s="213">
        <f t="shared" ref="H86:H87" si="1">E86*F86</f>
        <v>270</v>
      </c>
      <c r="I86" s="212"/>
      <c r="J86" s="573"/>
      <c r="K86" s="576"/>
      <c r="L86" s="576"/>
      <c r="M86" s="576"/>
      <c r="N86" s="581"/>
      <c r="O86" s="582"/>
      <c r="P86" s="582"/>
      <c r="Q86" s="582"/>
    </row>
    <row r="87" spans="1:17" s="47" customFormat="1" ht="15" customHeight="1">
      <c r="A87" s="566"/>
      <c r="B87" s="631">
        <v>0</v>
      </c>
      <c r="C87" s="631" t="s">
        <v>469</v>
      </c>
      <c r="D87" s="631" t="s">
        <v>189</v>
      </c>
      <c r="E87" s="632">
        <v>900</v>
      </c>
      <c r="F87" s="632">
        <v>0.3</v>
      </c>
      <c r="G87" s="631"/>
      <c r="H87" s="213">
        <f t="shared" si="1"/>
        <v>270</v>
      </c>
      <c r="I87" s="212"/>
      <c r="J87" s="573"/>
      <c r="K87" s="576"/>
      <c r="L87" s="576"/>
      <c r="M87" s="576"/>
      <c r="N87" s="581"/>
      <c r="O87" s="582"/>
      <c r="P87" s="582"/>
      <c r="Q87" s="582"/>
    </row>
    <row r="88" spans="1:17" s="47" customFormat="1" ht="15" customHeight="1">
      <c r="A88" s="566"/>
      <c r="B88" s="594" t="s">
        <v>8</v>
      </c>
      <c r="C88" s="594"/>
      <c r="D88" s="594"/>
      <c r="E88" s="641">
        <v>510</v>
      </c>
      <c r="F88" s="641">
        <v>5</v>
      </c>
      <c r="G88" s="641">
        <v>0.4</v>
      </c>
      <c r="H88" s="215">
        <f>SUM(H86:H87)</f>
        <v>540</v>
      </c>
      <c r="I88" s="216" t="s">
        <v>90</v>
      </c>
      <c r="J88" s="573"/>
      <c r="N88" s="565"/>
    </row>
    <row r="89" spans="1:17" s="47" customFormat="1" ht="15" customHeight="1">
      <c r="A89" s="214"/>
      <c r="B89" s="629"/>
      <c r="C89" s="594"/>
      <c r="D89" s="594"/>
      <c r="E89" s="594"/>
      <c r="F89" s="594"/>
      <c r="G89" s="594"/>
      <c r="H89" s="628"/>
      <c r="I89" s="629"/>
      <c r="J89" s="630"/>
    </row>
    <row r="90" spans="1:17" ht="15" customHeight="1">
      <c r="A90" s="599" t="s">
        <v>76</v>
      </c>
      <c r="B90" s="619" t="s">
        <v>49</v>
      </c>
      <c r="C90" s="595"/>
      <c r="D90" s="595"/>
      <c r="E90" s="595"/>
      <c r="F90" s="595"/>
      <c r="G90" s="595"/>
      <c r="H90" s="596"/>
      <c r="I90" s="597"/>
      <c r="J90" s="598"/>
    </row>
    <row r="91" spans="1:17" ht="15" customHeight="1">
      <c r="A91" s="211" t="s">
        <v>48</v>
      </c>
      <c r="B91" s="594" t="s">
        <v>131</v>
      </c>
      <c r="C91" s="593"/>
      <c r="D91" s="593"/>
      <c r="E91" s="593"/>
      <c r="F91" s="593"/>
      <c r="G91" s="593"/>
      <c r="H91" s="213"/>
      <c r="I91" s="594"/>
      <c r="J91" s="221"/>
    </row>
    <row r="92" spans="1:17" ht="15" customHeight="1">
      <c r="A92" s="214" t="s">
        <v>121</v>
      </c>
      <c r="B92" s="594" t="s">
        <v>491</v>
      </c>
      <c r="C92" s="593"/>
      <c r="D92" s="593"/>
      <c r="E92" s="631" t="s">
        <v>492</v>
      </c>
      <c r="F92" s="631" t="s">
        <v>493</v>
      </c>
      <c r="G92" s="593"/>
      <c r="H92" s="643"/>
      <c r="I92" s="623"/>
      <c r="J92" s="221"/>
    </row>
    <row r="93" spans="1:17" ht="15" customHeight="1">
      <c r="A93" s="214"/>
      <c r="B93" s="594" t="s">
        <v>565</v>
      </c>
      <c r="C93" s="593"/>
      <c r="D93" s="593"/>
      <c r="E93" s="639">
        <v>0</v>
      </c>
      <c r="F93" s="640">
        <v>0</v>
      </c>
      <c r="G93" s="593"/>
      <c r="H93" s="213">
        <f>T1</f>
        <v>35.299999999999997</v>
      </c>
      <c r="I93" s="594" t="s">
        <v>90</v>
      </c>
      <c r="J93" s="221"/>
    </row>
    <row r="94" spans="1:17" ht="15" customHeight="1">
      <c r="A94" s="214"/>
      <c r="B94" s="594" t="s">
        <v>564</v>
      </c>
      <c r="C94" s="593"/>
      <c r="D94" s="593"/>
      <c r="E94" s="639">
        <v>900</v>
      </c>
      <c r="F94" s="640">
        <v>8.9</v>
      </c>
      <c r="G94" s="593"/>
      <c r="H94" s="213">
        <f>E94*F94</f>
        <v>8010</v>
      </c>
      <c r="I94" s="594" t="s">
        <v>90</v>
      </c>
      <c r="J94" s="221"/>
    </row>
    <row r="95" spans="1:17" ht="15" customHeight="1">
      <c r="A95" s="214"/>
      <c r="B95" s="594" t="s">
        <v>56</v>
      </c>
      <c r="C95" s="593"/>
      <c r="D95" s="593"/>
      <c r="E95" s="639"/>
      <c r="F95" s="640"/>
      <c r="G95" s="593"/>
      <c r="H95" s="215">
        <f>SUM(H93:H94)</f>
        <v>8045.3</v>
      </c>
      <c r="I95" s="592" t="s">
        <v>90</v>
      </c>
      <c r="J95" s="221"/>
    </row>
    <row r="96" spans="1:17" ht="15" customHeight="1">
      <c r="A96" s="214"/>
      <c r="B96" s="594" t="s">
        <v>8</v>
      </c>
      <c r="C96" s="594" t="s">
        <v>8</v>
      </c>
      <c r="D96" s="639"/>
      <c r="E96" s="639"/>
      <c r="F96" s="639"/>
      <c r="G96" s="639"/>
      <c r="H96" s="643"/>
      <c r="I96" s="623"/>
      <c r="J96" s="221"/>
    </row>
    <row r="97" spans="1:10" ht="15" customHeight="1">
      <c r="A97" s="211" t="s">
        <v>46</v>
      </c>
      <c r="B97" s="626" t="s">
        <v>396</v>
      </c>
      <c r="C97" s="212"/>
      <c r="D97" s="212"/>
      <c r="E97" s="212"/>
      <c r="F97" s="212"/>
      <c r="G97" s="212"/>
      <c r="H97" s="213"/>
      <c r="I97" s="212"/>
      <c r="J97" s="221"/>
    </row>
    <row r="98" spans="1:10" ht="15" customHeight="1">
      <c r="A98" s="214" t="s">
        <v>121</v>
      </c>
      <c r="B98" s="594" t="s">
        <v>506</v>
      </c>
      <c r="C98" s="631"/>
      <c r="D98" s="631" t="s">
        <v>566</v>
      </c>
      <c r="E98" s="631" t="s">
        <v>492</v>
      </c>
      <c r="F98" s="631" t="s">
        <v>499</v>
      </c>
      <c r="G98" s="593" t="s">
        <v>498</v>
      </c>
      <c r="H98" s="213"/>
      <c r="I98" s="594"/>
      <c r="J98" s="221"/>
    </row>
    <row r="99" spans="1:10" ht="15" customHeight="1">
      <c r="A99" s="214"/>
      <c r="B99" s="594" t="s">
        <v>565</v>
      </c>
      <c r="C99" s="593"/>
      <c r="D99" s="659">
        <f>T1</f>
        <v>35.299999999999997</v>
      </c>
      <c r="E99" s="639">
        <v>0</v>
      </c>
      <c r="F99" s="640">
        <v>0</v>
      </c>
      <c r="G99" s="640">
        <v>0.2</v>
      </c>
      <c r="H99" s="679">
        <f>D99*G99</f>
        <v>7.06</v>
      </c>
      <c r="I99" s="594" t="s">
        <v>91</v>
      </c>
      <c r="J99" s="221"/>
    </row>
    <row r="100" spans="1:10" ht="15" customHeight="1">
      <c r="A100" s="214"/>
      <c r="B100" s="594" t="s">
        <v>564</v>
      </c>
      <c r="C100" s="639" t="s">
        <v>8</v>
      </c>
      <c r="D100" s="623"/>
      <c r="E100" s="639">
        <f>J4</f>
        <v>900</v>
      </c>
      <c r="F100" s="640">
        <f>T4</f>
        <v>8.6999999999999993</v>
      </c>
      <c r="G100" s="640">
        <v>0.2</v>
      </c>
      <c r="H100" s="679">
        <f>E100*F100*G100</f>
        <v>1566</v>
      </c>
      <c r="I100" s="594" t="s">
        <v>91</v>
      </c>
      <c r="J100" s="221"/>
    </row>
    <row r="101" spans="1:10" ht="15" customHeight="1">
      <c r="A101" s="214"/>
      <c r="B101" s="594" t="s">
        <v>56</v>
      </c>
      <c r="C101" s="639"/>
      <c r="D101" s="623"/>
      <c r="E101" s="639"/>
      <c r="F101" s="640"/>
      <c r="G101" s="640"/>
      <c r="H101" s="215">
        <f>SUM(H99:H100)</f>
        <v>1573.06</v>
      </c>
      <c r="I101" s="216" t="s">
        <v>91</v>
      </c>
      <c r="J101" s="221"/>
    </row>
    <row r="102" spans="1:10" ht="15" customHeight="1">
      <c r="A102" s="214"/>
      <c r="B102" s="594"/>
      <c r="C102" s="639"/>
      <c r="D102" s="623"/>
      <c r="E102" s="639"/>
      <c r="F102" s="640"/>
      <c r="G102" s="640"/>
      <c r="H102" s="215"/>
      <c r="I102" s="216"/>
      <c r="J102" s="221"/>
    </row>
    <row r="103" spans="1:10" s="47" customFormat="1" ht="15" customHeight="1">
      <c r="A103" s="211" t="s">
        <v>45</v>
      </c>
      <c r="B103" s="212" t="s">
        <v>500</v>
      </c>
      <c r="C103" s="212"/>
      <c r="D103" s="212"/>
      <c r="E103" s="212"/>
      <c r="F103" s="212"/>
      <c r="G103" s="212"/>
      <c r="H103" s="213"/>
      <c r="I103" s="212"/>
      <c r="J103" s="221"/>
    </row>
    <row r="104" spans="1:10" s="47" customFormat="1" ht="15" customHeight="1">
      <c r="A104" s="214" t="s">
        <v>121</v>
      </c>
      <c r="B104" s="212" t="s">
        <v>501</v>
      </c>
      <c r="C104" s="212"/>
      <c r="D104" s="212"/>
      <c r="E104" s="212"/>
      <c r="F104" s="212"/>
      <c r="G104" s="212"/>
      <c r="H104" s="213"/>
      <c r="I104" s="212"/>
      <c r="J104" s="221"/>
    </row>
    <row r="105" spans="1:10" s="47" customFormat="1" ht="15" customHeight="1">
      <c r="A105" s="214"/>
      <c r="B105" s="212" t="s">
        <v>502</v>
      </c>
      <c r="C105" s="212"/>
      <c r="D105" s="212"/>
      <c r="E105" s="212"/>
      <c r="F105" s="212"/>
      <c r="G105" s="212"/>
      <c r="H105" s="215">
        <f>H101*1.15*N4</f>
        <v>84300.285399999993</v>
      </c>
      <c r="I105" s="216" t="s">
        <v>143</v>
      </c>
      <c r="J105" s="221"/>
    </row>
    <row r="106" spans="1:10" s="47" customFormat="1" ht="15" customHeight="1">
      <c r="A106" s="211"/>
      <c r="B106" s="594" t="s">
        <v>8</v>
      </c>
      <c r="C106" s="212"/>
      <c r="D106" s="212"/>
      <c r="E106" s="212"/>
      <c r="F106" s="212"/>
      <c r="G106" s="212"/>
      <c r="H106" s="594"/>
      <c r="I106" s="594"/>
      <c r="J106" s="221"/>
    </row>
    <row r="107" spans="1:10" s="47" customFormat="1" ht="15" customHeight="1">
      <c r="A107" s="211" t="s">
        <v>44</v>
      </c>
      <c r="B107" s="212" t="s">
        <v>391</v>
      </c>
      <c r="C107" s="212"/>
      <c r="D107" s="212"/>
      <c r="E107" s="212"/>
      <c r="F107" s="212"/>
      <c r="G107" s="212"/>
      <c r="H107" s="213"/>
      <c r="I107" s="212"/>
      <c r="J107" s="221"/>
    </row>
    <row r="108" spans="1:10" s="47" customFormat="1" ht="15" customHeight="1">
      <c r="A108" s="214" t="s">
        <v>121</v>
      </c>
      <c r="B108" s="212" t="s">
        <v>392</v>
      </c>
      <c r="C108" s="212"/>
      <c r="D108" s="212"/>
      <c r="E108" s="212"/>
      <c r="F108" s="212"/>
      <c r="G108" s="212"/>
      <c r="H108" s="213"/>
      <c r="I108" s="212"/>
      <c r="J108" s="221"/>
    </row>
    <row r="109" spans="1:10" s="47" customFormat="1" ht="15" customHeight="1">
      <c r="A109" s="211"/>
      <c r="B109" s="212" t="s">
        <v>397</v>
      </c>
      <c r="C109" s="212"/>
      <c r="D109" s="212"/>
      <c r="E109" s="212"/>
      <c r="F109" s="212"/>
      <c r="G109" s="212"/>
      <c r="H109" s="215">
        <f>H101*1.7</f>
        <v>2674.2019999999998</v>
      </c>
      <c r="I109" s="216" t="s">
        <v>69</v>
      </c>
      <c r="J109" s="221"/>
    </row>
    <row r="110" spans="1:10" s="47" customFormat="1" ht="15" customHeight="1">
      <c r="A110" s="211"/>
      <c r="B110" s="212"/>
      <c r="C110" s="212"/>
      <c r="D110" s="212"/>
      <c r="E110" s="212"/>
      <c r="F110" s="212"/>
      <c r="G110" s="212"/>
      <c r="H110" s="215"/>
      <c r="I110" s="216"/>
      <c r="J110" s="221"/>
    </row>
    <row r="111" spans="1:10" ht="15" customHeight="1">
      <c r="A111" s="211" t="s">
        <v>43</v>
      </c>
      <c r="B111" s="626" t="s">
        <v>166</v>
      </c>
      <c r="C111" s="212"/>
      <c r="D111" s="212"/>
      <c r="E111" s="212"/>
      <c r="F111" s="212"/>
      <c r="G111" s="212"/>
      <c r="H111" s="213"/>
      <c r="I111" s="212"/>
      <c r="J111" s="221"/>
    </row>
    <row r="112" spans="1:10" ht="15" customHeight="1">
      <c r="A112" s="214" t="s">
        <v>121</v>
      </c>
      <c r="B112" s="594" t="s">
        <v>506</v>
      </c>
      <c r="C112" s="631"/>
      <c r="D112" s="631" t="s">
        <v>566</v>
      </c>
      <c r="E112" s="631" t="s">
        <v>492</v>
      </c>
      <c r="F112" s="631" t="s">
        <v>499</v>
      </c>
      <c r="G112" s="593" t="s">
        <v>165</v>
      </c>
      <c r="H112" s="213"/>
      <c r="I112" s="594"/>
      <c r="J112" s="221"/>
    </row>
    <row r="113" spans="1:10" ht="15" customHeight="1">
      <c r="A113" s="214"/>
      <c r="B113" s="594" t="s">
        <v>565</v>
      </c>
      <c r="C113" s="593"/>
      <c r="D113" s="659">
        <f>T1</f>
        <v>35.299999999999997</v>
      </c>
      <c r="E113" s="639">
        <v>0</v>
      </c>
      <c r="F113" s="640">
        <v>0</v>
      </c>
      <c r="G113" s="640">
        <v>0.2</v>
      </c>
      <c r="H113" s="213">
        <f>D113*G113</f>
        <v>7.06</v>
      </c>
      <c r="I113" s="594" t="s">
        <v>91</v>
      </c>
      <c r="J113" s="221"/>
    </row>
    <row r="114" spans="1:10" ht="15" customHeight="1">
      <c r="A114" s="214"/>
      <c r="B114" s="594" t="s">
        <v>564</v>
      </c>
      <c r="C114" s="639" t="s">
        <v>8</v>
      </c>
      <c r="D114" s="623"/>
      <c r="E114" s="639">
        <f>J4</f>
        <v>900</v>
      </c>
      <c r="F114" s="640">
        <f>T5</f>
        <v>8.3000000000000007</v>
      </c>
      <c r="G114" s="640">
        <v>0.2</v>
      </c>
      <c r="H114" s="679">
        <f>E114*F114*G114</f>
        <v>1494.0000000000002</v>
      </c>
      <c r="I114" s="594" t="s">
        <v>91</v>
      </c>
      <c r="J114" s="221"/>
    </row>
    <row r="115" spans="1:10" ht="15" customHeight="1">
      <c r="A115" s="214"/>
      <c r="B115" s="594" t="s">
        <v>56</v>
      </c>
      <c r="C115" s="639"/>
      <c r="D115" s="623"/>
      <c r="E115" s="639"/>
      <c r="F115" s="640"/>
      <c r="G115" s="640"/>
      <c r="H115" s="215">
        <f>SUM(H113:H114)</f>
        <v>1501.0600000000002</v>
      </c>
      <c r="I115" s="216" t="s">
        <v>91</v>
      </c>
      <c r="J115" s="221"/>
    </row>
    <row r="116" spans="1:10" ht="15" customHeight="1">
      <c r="A116" s="214"/>
      <c r="B116" s="594"/>
      <c r="C116" s="639"/>
      <c r="D116" s="623"/>
      <c r="E116" s="639"/>
      <c r="F116" s="640"/>
      <c r="G116" s="640"/>
      <c r="H116" s="215"/>
      <c r="I116" s="216"/>
      <c r="J116" s="221"/>
    </row>
    <row r="117" spans="1:10" s="47" customFormat="1" ht="15" customHeight="1">
      <c r="A117" s="211" t="s">
        <v>42</v>
      </c>
      <c r="B117" s="212" t="s">
        <v>479</v>
      </c>
      <c r="C117" s="212"/>
      <c r="D117" s="212"/>
      <c r="E117" s="212"/>
      <c r="F117" s="212"/>
      <c r="G117" s="212"/>
      <c r="H117" s="213"/>
      <c r="I117" s="212"/>
      <c r="J117" s="221"/>
    </row>
    <row r="118" spans="1:10" s="47" customFormat="1" ht="15" customHeight="1">
      <c r="A118" s="214" t="s">
        <v>121</v>
      </c>
      <c r="B118" s="212" t="s">
        <v>249</v>
      </c>
      <c r="C118" s="212"/>
      <c r="D118" s="212"/>
      <c r="E118" s="212"/>
      <c r="F118" s="212"/>
      <c r="G118" s="212"/>
      <c r="H118" s="213"/>
      <c r="I118" s="212"/>
      <c r="J118" s="221"/>
    </row>
    <row r="119" spans="1:10" s="47" customFormat="1" ht="15" customHeight="1">
      <c r="A119" s="214"/>
      <c r="B119" s="212" t="s">
        <v>503</v>
      </c>
      <c r="C119" s="212"/>
      <c r="D119" s="212"/>
      <c r="E119" s="212"/>
      <c r="F119" s="212"/>
      <c r="G119" s="212"/>
      <c r="H119" s="215">
        <f>H115*1.46*N4</f>
        <v>102126.11816000001</v>
      </c>
      <c r="I119" s="216" t="s">
        <v>143</v>
      </c>
      <c r="J119" s="221"/>
    </row>
    <row r="120" spans="1:10" s="47" customFormat="1" ht="15" customHeight="1">
      <c r="A120" s="211"/>
      <c r="B120" s="594" t="s">
        <v>8</v>
      </c>
      <c r="C120" s="212"/>
      <c r="D120" s="212"/>
      <c r="E120" s="212"/>
      <c r="F120" s="212"/>
      <c r="G120" s="212"/>
      <c r="H120" s="594"/>
      <c r="I120" s="594"/>
      <c r="J120" s="221"/>
    </row>
    <row r="121" spans="1:10" s="47" customFormat="1" ht="15" customHeight="1">
      <c r="A121" s="211" t="s">
        <v>41</v>
      </c>
      <c r="B121" s="212" t="s">
        <v>398</v>
      </c>
      <c r="C121" s="212"/>
      <c r="D121" s="212"/>
      <c r="E121" s="631"/>
      <c r="F121" s="631"/>
      <c r="G121" s="212"/>
      <c r="H121" s="213"/>
      <c r="I121" s="212"/>
      <c r="J121" s="221"/>
    </row>
    <row r="122" spans="1:10" s="47" customFormat="1" ht="15" customHeight="1">
      <c r="A122" s="214" t="s">
        <v>121</v>
      </c>
      <c r="B122" s="212" t="s">
        <v>392</v>
      </c>
      <c r="C122" s="212"/>
      <c r="D122" s="212"/>
      <c r="E122" s="639"/>
      <c r="F122" s="640"/>
      <c r="G122" s="212"/>
      <c r="H122" s="213"/>
      <c r="I122" s="212"/>
      <c r="J122" s="221"/>
    </row>
    <row r="123" spans="1:10" s="47" customFormat="1" ht="15" customHeight="1">
      <c r="A123" s="211"/>
      <c r="B123" s="212" t="s">
        <v>399</v>
      </c>
      <c r="C123" s="212"/>
      <c r="D123" s="212"/>
      <c r="E123" s="212"/>
      <c r="F123" s="212"/>
      <c r="G123" s="212"/>
      <c r="H123" s="215">
        <f>H115*1.5</f>
        <v>2251.59</v>
      </c>
      <c r="I123" s="216" t="s">
        <v>69</v>
      </c>
      <c r="J123" s="221"/>
    </row>
    <row r="124" spans="1:10" s="47" customFormat="1" ht="15" customHeight="1">
      <c r="A124" s="211"/>
      <c r="B124" s="212"/>
      <c r="C124" s="212"/>
      <c r="D124" s="212"/>
      <c r="E124" s="212"/>
      <c r="F124" s="212"/>
      <c r="G124" s="212"/>
      <c r="H124" s="215"/>
      <c r="I124" s="216"/>
      <c r="J124" s="221"/>
    </row>
    <row r="125" spans="1:10" ht="15" customHeight="1">
      <c r="A125" s="170" t="s">
        <v>40</v>
      </c>
      <c r="B125" s="642" t="s">
        <v>132</v>
      </c>
      <c r="C125" s="594"/>
      <c r="D125" s="594"/>
      <c r="G125" s="594"/>
      <c r="H125" s="644"/>
      <c r="I125" s="212"/>
      <c r="J125" s="645"/>
    </row>
    <row r="126" spans="1:10" ht="15" customHeight="1">
      <c r="A126" s="214" t="s">
        <v>121</v>
      </c>
      <c r="B126" s="594" t="s">
        <v>505</v>
      </c>
      <c r="C126" s="631"/>
      <c r="D126" s="631"/>
      <c r="E126" s="631" t="s">
        <v>492</v>
      </c>
      <c r="F126" s="631" t="s">
        <v>504</v>
      </c>
      <c r="G126" s="212"/>
      <c r="H126" s="48"/>
      <c r="I126" s="574"/>
      <c r="J126" s="645"/>
    </row>
    <row r="127" spans="1:10" ht="15" customHeight="1">
      <c r="A127" s="214"/>
      <c r="B127" s="594" t="s">
        <v>565</v>
      </c>
      <c r="C127" s="631"/>
      <c r="D127" s="631"/>
      <c r="E127" s="639" t="s">
        <v>8</v>
      </c>
      <c r="F127" s="640" t="s">
        <v>8</v>
      </c>
      <c r="G127" s="212"/>
      <c r="H127" s="213">
        <f>T1</f>
        <v>35.299999999999997</v>
      </c>
      <c r="I127" s="594" t="s">
        <v>90</v>
      </c>
      <c r="J127" s="645"/>
    </row>
    <row r="128" spans="1:10" ht="15" customHeight="1">
      <c r="A128" s="214"/>
      <c r="B128" s="594" t="s">
        <v>564</v>
      </c>
      <c r="C128" s="631"/>
      <c r="D128" s="631"/>
      <c r="E128" s="639">
        <v>900</v>
      </c>
      <c r="F128" s="640">
        <f>T6</f>
        <v>8</v>
      </c>
      <c r="G128" s="212"/>
      <c r="H128" s="213">
        <f>E128*F128</f>
        <v>7200</v>
      </c>
      <c r="I128" s="594" t="s">
        <v>90</v>
      </c>
      <c r="J128" s="645"/>
    </row>
    <row r="129" spans="1:10" ht="15" customHeight="1">
      <c r="A129" s="214"/>
      <c r="B129" s="594" t="s">
        <v>56</v>
      </c>
      <c r="C129" s="631"/>
      <c r="D129" s="631"/>
      <c r="E129" s="639"/>
      <c r="F129" s="640"/>
      <c r="G129" s="212"/>
      <c r="H129" s="215">
        <f>SUM(H127:H128)</f>
        <v>7235.3</v>
      </c>
      <c r="I129" s="592" t="s">
        <v>90</v>
      </c>
      <c r="J129" s="645"/>
    </row>
    <row r="130" spans="1:10" ht="15" customHeight="1">
      <c r="A130" s="214" t="s">
        <v>8</v>
      </c>
      <c r="B130" s="212" t="s">
        <v>8</v>
      </c>
      <c r="C130" s="594"/>
      <c r="D130" s="594"/>
      <c r="E130" s="594"/>
      <c r="F130" s="594"/>
      <c r="G130" s="594"/>
      <c r="H130" s="623"/>
      <c r="I130" s="623"/>
      <c r="J130" s="645"/>
    </row>
    <row r="131" spans="1:10" ht="15" customHeight="1">
      <c r="A131" s="211" t="s">
        <v>70</v>
      </c>
      <c r="B131" s="626" t="s">
        <v>395</v>
      </c>
      <c r="C131" s="212"/>
      <c r="D131" s="212"/>
      <c r="F131" s="574"/>
      <c r="G131" s="212"/>
      <c r="H131" s="644"/>
      <c r="I131" s="212"/>
      <c r="J131" s="221"/>
    </row>
    <row r="132" spans="1:10" ht="15" customHeight="1">
      <c r="A132" s="214" t="s">
        <v>121</v>
      </c>
      <c r="B132" s="594" t="s">
        <v>505</v>
      </c>
      <c r="C132" s="631"/>
      <c r="D132" s="631"/>
      <c r="E132" s="631" t="s">
        <v>492</v>
      </c>
      <c r="F132" s="631" t="s">
        <v>504</v>
      </c>
      <c r="G132" s="212"/>
      <c r="H132" s="48"/>
      <c r="I132" s="574"/>
      <c r="J132" s="645"/>
    </row>
    <row r="133" spans="1:10" ht="15" customHeight="1">
      <c r="A133" s="214"/>
      <c r="B133" s="594" t="s">
        <v>565</v>
      </c>
      <c r="C133" s="631"/>
      <c r="D133" s="631"/>
      <c r="F133" s="574"/>
      <c r="G133" s="212"/>
      <c r="H133" s="213">
        <f>T1</f>
        <v>35.299999999999997</v>
      </c>
      <c r="I133" s="594" t="s">
        <v>90</v>
      </c>
      <c r="J133" s="645"/>
    </row>
    <row r="134" spans="1:10" ht="15" customHeight="1">
      <c r="A134" s="214"/>
      <c r="B134" s="594" t="s">
        <v>564</v>
      </c>
      <c r="C134" s="631"/>
      <c r="D134" s="631"/>
      <c r="E134" s="639">
        <f>J4</f>
        <v>900</v>
      </c>
      <c r="F134" s="640">
        <f>T6</f>
        <v>8</v>
      </c>
      <c r="G134" s="212"/>
      <c r="H134" s="213">
        <f>E134*F134</f>
        <v>7200</v>
      </c>
      <c r="I134" s="594" t="s">
        <v>90</v>
      </c>
      <c r="J134" s="645"/>
    </row>
    <row r="135" spans="1:10" ht="15" customHeight="1">
      <c r="A135" s="214"/>
      <c r="B135" s="594" t="s">
        <v>56</v>
      </c>
      <c r="C135" s="631"/>
      <c r="D135" s="631"/>
      <c r="E135" s="639"/>
      <c r="F135" s="640"/>
      <c r="G135" s="212"/>
      <c r="H135" s="215">
        <f>SUM(H133:H134)</f>
        <v>7235.3</v>
      </c>
      <c r="I135" s="592" t="s">
        <v>90</v>
      </c>
      <c r="J135" s="645"/>
    </row>
    <row r="136" spans="1:10" ht="15" customHeight="1">
      <c r="A136" s="214"/>
      <c r="B136" s="594"/>
      <c r="C136" s="631"/>
      <c r="D136" s="631"/>
      <c r="E136" s="639"/>
      <c r="F136" s="640"/>
      <c r="G136" s="212"/>
      <c r="H136" s="215"/>
      <c r="I136" s="592"/>
      <c r="J136" s="645"/>
    </row>
    <row r="137" spans="1:10" ht="15" customHeight="1">
      <c r="A137" s="211" t="s">
        <v>211</v>
      </c>
      <c r="B137" s="626" t="s">
        <v>133</v>
      </c>
      <c r="C137" s="212"/>
      <c r="D137" s="212"/>
      <c r="E137" s="212"/>
      <c r="F137" s="212"/>
      <c r="G137" s="212"/>
      <c r="H137" s="644"/>
      <c r="I137" s="212"/>
      <c r="J137" s="221"/>
    </row>
    <row r="138" spans="1:10" ht="15" customHeight="1">
      <c r="A138" s="214" t="s">
        <v>121</v>
      </c>
      <c r="B138" s="626" t="s">
        <v>506</v>
      </c>
      <c r="C138" s="212"/>
      <c r="D138" s="212"/>
      <c r="E138" s="680"/>
      <c r="F138" s="631" t="s">
        <v>566</v>
      </c>
      <c r="G138" s="593" t="s">
        <v>165</v>
      </c>
      <c r="H138" s="680"/>
      <c r="I138" s="623"/>
      <c r="J138" s="646"/>
    </row>
    <row r="139" spans="1:10" ht="15" customHeight="1">
      <c r="A139" s="214" t="s">
        <v>8</v>
      </c>
      <c r="B139" s="594" t="s">
        <v>565</v>
      </c>
      <c r="C139" s="631"/>
      <c r="D139" s="212"/>
      <c r="E139" s="680"/>
      <c r="F139" s="659">
        <f>T1</f>
        <v>35.299999999999997</v>
      </c>
      <c r="G139" s="640">
        <v>0.05</v>
      </c>
      <c r="H139" s="681">
        <f>F139*G139</f>
        <v>1.7649999999999999</v>
      </c>
      <c r="I139" s="594" t="s">
        <v>91</v>
      </c>
      <c r="J139" s="647" t="s">
        <v>8</v>
      </c>
    </row>
    <row r="140" spans="1:10" ht="15" customHeight="1">
      <c r="A140" s="214"/>
      <c r="B140" s="594"/>
      <c r="C140" s="631"/>
      <c r="D140" s="212"/>
      <c r="E140" s="631" t="s">
        <v>492</v>
      </c>
      <c r="F140" s="631" t="s">
        <v>499</v>
      </c>
      <c r="G140" s="593" t="s">
        <v>165</v>
      </c>
      <c r="H140" s="213"/>
      <c r="I140" s="594"/>
      <c r="J140" s="647"/>
    </row>
    <row r="141" spans="1:10" ht="15" customHeight="1">
      <c r="A141" s="214"/>
      <c r="B141" s="594" t="s">
        <v>564</v>
      </c>
      <c r="C141" s="631"/>
      <c r="D141" s="212"/>
      <c r="E141" s="639">
        <f>J4</f>
        <v>900</v>
      </c>
      <c r="F141" s="640">
        <f>T6</f>
        <v>8</v>
      </c>
      <c r="G141" s="640">
        <f>U6</f>
        <v>0.05</v>
      </c>
      <c r="H141" s="213">
        <f>E141*F141*G141</f>
        <v>360</v>
      </c>
      <c r="I141" s="594" t="s">
        <v>91</v>
      </c>
      <c r="J141" s="647"/>
    </row>
    <row r="142" spans="1:10" ht="15" customHeight="1">
      <c r="A142" s="214"/>
      <c r="B142" s="594" t="s">
        <v>56</v>
      </c>
      <c r="C142" s="631"/>
      <c r="D142" s="212"/>
      <c r="E142" s="639"/>
      <c r="F142" s="640"/>
      <c r="G142" s="640"/>
      <c r="H142" s="215">
        <f>SUM(H139:H141)</f>
        <v>361.76499999999999</v>
      </c>
      <c r="I142" s="592" t="s">
        <v>91</v>
      </c>
      <c r="J142" s="647"/>
    </row>
    <row r="143" spans="1:10" ht="15" customHeight="1">
      <c r="A143" s="214"/>
      <c r="B143" s="594"/>
      <c r="C143" s="631"/>
      <c r="D143" s="212"/>
      <c r="E143" s="639"/>
      <c r="F143" s="640"/>
      <c r="G143" s="640"/>
      <c r="H143" s="215"/>
      <c r="I143" s="592"/>
      <c r="J143" s="647"/>
    </row>
    <row r="144" spans="1:10" ht="15" customHeight="1">
      <c r="A144" s="211" t="s">
        <v>247</v>
      </c>
      <c r="B144" s="212" t="s">
        <v>507</v>
      </c>
      <c r="C144" s="212"/>
      <c r="D144" s="212"/>
      <c r="E144" s="212"/>
      <c r="F144" s="212"/>
      <c r="G144" s="212"/>
      <c r="H144" s="213"/>
      <c r="I144" s="212"/>
      <c r="J144" s="221"/>
    </row>
    <row r="145" spans="1:10 16367:16367" ht="15" customHeight="1">
      <c r="A145" s="214" t="s">
        <v>121</v>
      </c>
      <c r="B145" s="212" t="s">
        <v>509</v>
      </c>
      <c r="C145" s="212"/>
      <c r="D145" s="212"/>
      <c r="E145" s="212"/>
      <c r="F145" s="212"/>
      <c r="G145" s="212"/>
      <c r="H145" s="213"/>
      <c r="I145" s="212"/>
      <c r="J145" s="221"/>
    </row>
    <row r="146" spans="1:10 16367:16367" s="47" customFormat="1" ht="15" customHeight="1">
      <c r="A146" s="211"/>
      <c r="B146" s="212" t="s">
        <v>508</v>
      </c>
      <c r="C146" s="212"/>
      <c r="D146" s="212"/>
      <c r="E146" s="212"/>
      <c r="F146" s="212"/>
      <c r="G146" s="212"/>
      <c r="H146" s="215">
        <f>H142*1.3*N4</f>
        <v>21915.723699999999</v>
      </c>
      <c r="I146" s="216" t="s">
        <v>143</v>
      </c>
      <c r="J146" s="221"/>
    </row>
    <row r="147" spans="1:10 16367:16367" s="47" customFormat="1" ht="15" customHeight="1">
      <c r="A147" s="211"/>
      <c r="B147" s="212"/>
      <c r="C147" s="212"/>
      <c r="D147" s="212"/>
      <c r="E147" s="212"/>
      <c r="F147" s="212"/>
      <c r="G147" s="212"/>
      <c r="H147" s="215"/>
      <c r="I147" s="216"/>
      <c r="J147" s="221"/>
    </row>
    <row r="148" spans="1:10 16367:16367" ht="15" customHeight="1">
      <c r="A148" s="211" t="s">
        <v>381</v>
      </c>
      <c r="B148" s="212" t="s">
        <v>210</v>
      </c>
      <c r="C148" s="212"/>
      <c r="D148" s="212"/>
      <c r="E148" s="212"/>
      <c r="F148" s="212"/>
      <c r="G148" s="212"/>
      <c r="H148" s="213"/>
      <c r="I148" s="212"/>
      <c r="J148" s="221"/>
    </row>
    <row r="149" spans="1:10 16367:16367" ht="15" customHeight="1">
      <c r="A149" s="214" t="s">
        <v>121</v>
      </c>
      <c r="B149" s="212" t="s">
        <v>585</v>
      </c>
      <c r="C149" s="212"/>
      <c r="D149" s="212"/>
      <c r="E149" s="212"/>
      <c r="F149" s="212"/>
      <c r="G149" s="212"/>
      <c r="H149" s="213"/>
      <c r="I149" s="212"/>
      <c r="J149" s="221"/>
    </row>
    <row r="150" spans="1:10 16367:16367" ht="15" customHeight="1">
      <c r="A150" s="648"/>
      <c r="B150" s="212" t="s">
        <v>400</v>
      </c>
      <c r="C150" s="212"/>
      <c r="D150" s="212"/>
      <c r="E150" s="212"/>
      <c r="F150" s="212"/>
      <c r="G150" s="212"/>
      <c r="H150" s="215">
        <f>H142*2.4</f>
        <v>868.23599999999999</v>
      </c>
      <c r="I150" s="592" t="s">
        <v>69</v>
      </c>
      <c r="J150" s="221"/>
    </row>
    <row r="151" spans="1:10 16367:16367" s="47" customFormat="1" ht="15" customHeight="1">
      <c r="A151" s="211"/>
      <c r="B151" s="212"/>
      <c r="C151" s="594"/>
      <c r="D151" s="594"/>
      <c r="E151" s="594"/>
      <c r="F151" s="594"/>
      <c r="G151" s="594"/>
      <c r="H151" s="215"/>
      <c r="I151" s="592"/>
      <c r="J151" s="221"/>
    </row>
    <row r="152" spans="1:10 16367:16367" s="47" customFormat="1" ht="15" customHeight="1">
      <c r="A152" s="599" t="s">
        <v>78</v>
      </c>
      <c r="B152" s="619" t="s">
        <v>38</v>
      </c>
      <c r="C152" s="543"/>
      <c r="D152" s="543"/>
      <c r="E152" s="543"/>
      <c r="F152" s="543"/>
      <c r="G152" s="543"/>
      <c r="H152" s="544"/>
      <c r="I152" s="545"/>
      <c r="J152" s="546"/>
    </row>
    <row r="153" spans="1:10 16367:16367" ht="15" customHeight="1">
      <c r="A153" s="211" t="s">
        <v>251</v>
      </c>
      <c r="B153" s="594" t="s">
        <v>250</v>
      </c>
      <c r="C153" s="593"/>
      <c r="D153" s="593"/>
      <c r="E153" s="593"/>
      <c r="F153" s="593"/>
      <c r="G153" s="593"/>
      <c r="H153" s="213"/>
      <c r="I153" s="594"/>
      <c r="J153" s="221"/>
    </row>
    <row r="154" spans="1:10 16367:16367" ht="15" customHeight="1">
      <c r="A154" s="214" t="s">
        <v>121</v>
      </c>
      <c r="B154" s="594" t="s">
        <v>134</v>
      </c>
      <c r="C154" s="593"/>
      <c r="D154" s="593"/>
      <c r="E154" s="593"/>
      <c r="F154" s="593"/>
      <c r="G154" s="593"/>
      <c r="H154" s="651"/>
      <c r="I154" s="213"/>
      <c r="J154" s="652"/>
    </row>
    <row r="155" spans="1:10 16367:16367" ht="15" customHeight="1">
      <c r="A155" s="214"/>
      <c r="B155" s="594"/>
      <c r="C155" s="623"/>
      <c r="D155" s="640" t="s">
        <v>207</v>
      </c>
      <c r="E155" s="632" t="s">
        <v>173</v>
      </c>
      <c r="F155" s="640" t="s">
        <v>174</v>
      </c>
      <c r="G155" s="640" t="s">
        <v>200</v>
      </c>
      <c r="H155" s="651"/>
      <c r="I155" s="213"/>
      <c r="J155" s="652"/>
    </row>
    <row r="156" spans="1:10 16367:16367" ht="15" customHeight="1">
      <c r="A156" s="591"/>
      <c r="B156" s="594" t="s">
        <v>199</v>
      </c>
      <c r="C156" s="623"/>
      <c r="D156" s="640">
        <v>60</v>
      </c>
      <c r="E156" s="632">
        <v>0.6</v>
      </c>
      <c r="F156" s="640">
        <v>1.31</v>
      </c>
      <c r="G156" s="640">
        <v>1.3</v>
      </c>
      <c r="H156" s="213">
        <f>D156*(F156+E156)*G156</f>
        <v>148.98000000000002</v>
      </c>
      <c r="I156" s="594" t="s">
        <v>91</v>
      </c>
      <c r="J156" s="650"/>
    </row>
    <row r="157" spans="1:10 16367:16367" ht="15" customHeight="1">
      <c r="A157" s="591"/>
      <c r="B157" s="594" t="s">
        <v>402</v>
      </c>
      <c r="C157" s="623"/>
      <c r="D157" s="640">
        <v>13</v>
      </c>
      <c r="E157" s="632">
        <v>0.8</v>
      </c>
      <c r="F157" s="640">
        <v>1.55</v>
      </c>
      <c r="G157" s="640">
        <v>1.4</v>
      </c>
      <c r="H157" s="213">
        <f>D157*(F157+E157)*G157</f>
        <v>42.769999999999996</v>
      </c>
      <c r="I157" s="594" t="s">
        <v>91</v>
      </c>
      <c r="J157" s="650"/>
    </row>
    <row r="158" spans="1:10 16367:16367" ht="15" customHeight="1">
      <c r="A158" s="591"/>
      <c r="B158" s="592" t="s">
        <v>227</v>
      </c>
      <c r="C158" s="638"/>
      <c r="D158" s="638"/>
      <c r="E158" s="638"/>
      <c r="F158" s="638"/>
      <c r="G158" s="638"/>
      <c r="H158" s="215">
        <f>SUM(H156:H157)</f>
        <v>191.75</v>
      </c>
      <c r="I158" s="592" t="s">
        <v>91</v>
      </c>
      <c r="J158" s="650"/>
      <c r="XEM158" s="48">
        <f>SUM(A158:XEL158)</f>
        <v>191.75</v>
      </c>
    </row>
    <row r="159" spans="1:10 16367:16367" ht="15" customHeight="1">
      <c r="A159" s="591"/>
      <c r="B159" s="592"/>
      <c r="C159" s="593"/>
      <c r="D159" s="593"/>
      <c r="E159" s="593"/>
      <c r="F159" s="593"/>
      <c r="G159" s="593"/>
      <c r="H159" s="215"/>
      <c r="I159" s="592"/>
      <c r="J159" s="650"/>
    </row>
    <row r="160" spans="1:10 16367:16367" ht="15" customHeight="1">
      <c r="A160" s="214" t="s">
        <v>8</v>
      </c>
      <c r="B160" s="592" t="s">
        <v>510</v>
      </c>
      <c r="C160" s="593"/>
      <c r="D160" s="593"/>
      <c r="E160" s="593"/>
      <c r="F160" s="593"/>
      <c r="G160" s="593"/>
      <c r="H160" s="215">
        <f>H158*0.9</f>
        <v>172.57500000000002</v>
      </c>
      <c r="I160" s="592" t="s">
        <v>91</v>
      </c>
      <c r="J160" s="650"/>
    </row>
    <row r="161" spans="1:22" ht="15" customHeight="1">
      <c r="A161" s="214" t="s">
        <v>8</v>
      </c>
      <c r="B161" s="592" t="s">
        <v>511</v>
      </c>
      <c r="C161" s="593"/>
      <c r="D161" s="593"/>
      <c r="E161" s="593"/>
      <c r="F161" s="593"/>
      <c r="G161" s="593"/>
      <c r="H161" s="215">
        <f>H158-H160</f>
        <v>19.174999999999983</v>
      </c>
      <c r="I161" s="592" t="s">
        <v>91</v>
      </c>
      <c r="J161" s="650"/>
    </row>
    <row r="162" spans="1:22" ht="15" customHeight="1">
      <c r="A162" s="591"/>
      <c r="B162" s="592"/>
      <c r="C162" s="593"/>
      <c r="D162" s="593"/>
      <c r="E162" s="593"/>
      <c r="F162" s="593"/>
      <c r="G162" s="593"/>
      <c r="H162" s="215"/>
      <c r="I162" s="592"/>
      <c r="J162" s="650"/>
    </row>
    <row r="163" spans="1:22" s="47" customFormat="1" ht="15" customHeight="1">
      <c r="A163" s="170" t="s">
        <v>34</v>
      </c>
      <c r="B163" s="653" t="s">
        <v>253</v>
      </c>
      <c r="C163" s="212"/>
      <c r="D163" s="631"/>
      <c r="E163" s="631"/>
      <c r="F163" s="631"/>
      <c r="G163" s="212"/>
      <c r="H163" s="213"/>
      <c r="I163" s="212"/>
      <c r="J163" s="221"/>
      <c r="K163" s="154"/>
      <c r="L163" s="155"/>
      <c r="O163"/>
      <c r="P163"/>
      <c r="Q163"/>
      <c r="R163"/>
      <c r="S163"/>
      <c r="T163"/>
      <c r="U163"/>
      <c r="V163"/>
    </row>
    <row r="164" spans="1:22" customFormat="1" ht="15" customHeight="1">
      <c r="A164" s="214" t="s">
        <v>121</v>
      </c>
      <c r="B164" s="212" t="s">
        <v>256</v>
      </c>
      <c r="C164" s="212"/>
      <c r="D164" s="631" t="s">
        <v>207</v>
      </c>
      <c r="E164" s="631" t="s">
        <v>168</v>
      </c>
      <c r="F164" s="631" t="s">
        <v>254</v>
      </c>
      <c r="G164" s="212"/>
      <c r="H164" s="213"/>
      <c r="I164" s="212"/>
      <c r="J164" s="221"/>
      <c r="K164" s="48"/>
      <c r="L164" s="47"/>
      <c r="M164" s="47"/>
      <c r="N164" s="47"/>
      <c r="T164" s="168"/>
      <c r="U164" s="169"/>
      <c r="V164" s="48"/>
    </row>
    <row r="165" spans="1:22" ht="15" customHeight="1">
      <c r="A165" s="654"/>
      <c r="B165" s="626" t="s">
        <v>199</v>
      </c>
      <c r="C165" s="640"/>
      <c r="D165" s="632">
        <f>D156</f>
        <v>60</v>
      </c>
      <c r="E165" s="640">
        <v>0.9</v>
      </c>
      <c r="F165" s="640">
        <v>0.1</v>
      </c>
      <c r="G165" s="655"/>
      <c r="H165" s="213">
        <f t="shared" ref="H165" si="2">D165*E165*F165</f>
        <v>5.4</v>
      </c>
      <c r="I165" s="626" t="s">
        <v>91</v>
      </c>
      <c r="J165" s="650"/>
    </row>
    <row r="166" spans="1:22" ht="15" customHeight="1">
      <c r="A166" s="654"/>
      <c r="B166" s="626" t="s">
        <v>402</v>
      </c>
      <c r="C166" s="640"/>
      <c r="D166" s="632">
        <f>D157</f>
        <v>13</v>
      </c>
      <c r="E166" s="640">
        <v>1.1499999999999999</v>
      </c>
      <c r="F166" s="640">
        <v>0.1</v>
      </c>
      <c r="G166" s="655"/>
      <c r="H166" s="213">
        <f t="shared" ref="H166" si="3">D166*E166*F166</f>
        <v>1.4950000000000001</v>
      </c>
      <c r="I166" s="626" t="s">
        <v>91</v>
      </c>
      <c r="J166" s="650"/>
    </row>
    <row r="167" spans="1:22" s="47" customFormat="1" ht="15" customHeight="1">
      <c r="A167" s="211"/>
      <c r="B167" s="212"/>
      <c r="C167" s="212"/>
      <c r="D167" s="212"/>
      <c r="E167" s="212"/>
      <c r="F167" s="212"/>
      <c r="G167" s="212"/>
      <c r="H167" s="215">
        <f>SUM(H165:H166)</f>
        <v>6.8950000000000005</v>
      </c>
      <c r="I167" s="216" t="s">
        <v>91</v>
      </c>
      <c r="J167" s="221"/>
    </row>
    <row r="168" spans="1:22" s="47" customFormat="1" ht="15" customHeight="1">
      <c r="A168" s="211" t="s">
        <v>33</v>
      </c>
      <c r="B168" s="212" t="s">
        <v>479</v>
      </c>
      <c r="C168" s="212"/>
      <c r="D168" s="212"/>
      <c r="E168" s="212"/>
      <c r="F168" s="212"/>
      <c r="G168" s="212"/>
      <c r="H168" s="213"/>
      <c r="I168" s="212"/>
      <c r="J168" s="221"/>
      <c r="K168" s="154"/>
      <c r="O168"/>
      <c r="P168"/>
      <c r="Q168"/>
      <c r="R168"/>
      <c r="S168"/>
      <c r="T168"/>
      <c r="U168"/>
      <c r="V168"/>
    </row>
    <row r="169" spans="1:22" s="47" customFormat="1" ht="15" customHeight="1">
      <c r="A169" s="214" t="s">
        <v>121</v>
      </c>
      <c r="B169" s="212" t="s">
        <v>512</v>
      </c>
      <c r="C169" s="212"/>
      <c r="D169" s="212"/>
      <c r="E169" s="212"/>
      <c r="F169" s="212"/>
      <c r="G169" s="212"/>
      <c r="H169" s="213"/>
      <c r="I169" s="212"/>
      <c r="J169" s="221"/>
      <c r="K169" s="154"/>
      <c r="L169" s="155"/>
      <c r="O169"/>
      <c r="P169"/>
      <c r="Q169"/>
      <c r="R169"/>
      <c r="S169"/>
      <c r="T169"/>
      <c r="U169"/>
      <c r="V169"/>
    </row>
    <row r="170" spans="1:22" s="47" customFormat="1" ht="15" customHeight="1">
      <c r="A170" s="211"/>
      <c r="B170" s="212" t="s">
        <v>570</v>
      </c>
      <c r="C170" s="212"/>
      <c r="D170" s="212"/>
      <c r="E170" s="212"/>
      <c r="F170" s="212"/>
      <c r="G170" s="212"/>
      <c r="H170" s="215">
        <f>H167*1.46*N4</f>
        <v>469.10822000000007</v>
      </c>
      <c r="I170" s="216" t="s">
        <v>143</v>
      </c>
      <c r="J170" s="221"/>
      <c r="K170" s="154"/>
      <c r="L170" s="155"/>
      <c r="O170"/>
      <c r="P170"/>
      <c r="Q170"/>
      <c r="R170"/>
      <c r="S170"/>
      <c r="T170"/>
      <c r="U170"/>
      <c r="V170"/>
    </row>
    <row r="171" spans="1:22" s="47" customFormat="1" ht="15" customHeight="1">
      <c r="A171" s="211"/>
      <c r="B171" s="212"/>
      <c r="C171" s="212"/>
      <c r="D171" s="212"/>
      <c r="E171" s="212"/>
      <c r="F171" s="212"/>
      <c r="G171" s="212"/>
      <c r="H171" s="215"/>
      <c r="I171" s="216"/>
      <c r="J171" s="221"/>
      <c r="K171" s="154"/>
      <c r="L171" s="155"/>
      <c r="O171"/>
      <c r="P171"/>
      <c r="Q171"/>
      <c r="R171"/>
      <c r="S171"/>
      <c r="T171"/>
      <c r="U171"/>
      <c r="V171"/>
    </row>
    <row r="172" spans="1:22" ht="15" customHeight="1">
      <c r="A172" s="211" t="s">
        <v>513</v>
      </c>
      <c r="B172" s="594" t="s">
        <v>135</v>
      </c>
      <c r="C172" s="593"/>
      <c r="D172" s="593"/>
      <c r="E172" s="593"/>
      <c r="F172" s="593" t="s">
        <v>8</v>
      </c>
      <c r="G172" s="593"/>
      <c r="H172" s="213"/>
      <c r="I172" s="594"/>
      <c r="J172" s="221"/>
    </row>
    <row r="173" spans="1:22" ht="15" customHeight="1">
      <c r="A173" s="214" t="s">
        <v>121</v>
      </c>
      <c r="B173" s="594" t="s">
        <v>212</v>
      </c>
      <c r="C173" s="593"/>
      <c r="D173" s="640" t="s">
        <v>207</v>
      </c>
      <c r="E173" s="656" t="s">
        <v>169</v>
      </c>
      <c r="F173" s="655"/>
      <c r="G173" s="593"/>
      <c r="H173" s="215" t="s">
        <v>56</v>
      </c>
      <c r="I173" s="594"/>
      <c r="J173" s="221"/>
    </row>
    <row r="174" spans="1:22" ht="15" customHeight="1">
      <c r="A174" s="591"/>
      <c r="B174" s="594" t="s">
        <v>199</v>
      </c>
      <c r="C174" s="657"/>
      <c r="D174" s="640">
        <f>D156</f>
        <v>60</v>
      </c>
      <c r="E174" s="656">
        <f t="shared" ref="E174" si="4">C174+D174</f>
        <v>60</v>
      </c>
      <c r="F174" s="655"/>
      <c r="G174" s="593"/>
      <c r="H174" s="215">
        <f>D174</f>
        <v>60</v>
      </c>
      <c r="I174" s="592" t="s">
        <v>16</v>
      </c>
      <c r="J174" s="221"/>
    </row>
    <row r="175" spans="1:22" ht="15" customHeight="1">
      <c r="A175" s="591"/>
      <c r="B175" s="594" t="s">
        <v>402</v>
      </c>
      <c r="C175" s="657"/>
      <c r="D175" s="640">
        <f>D157</f>
        <v>13</v>
      </c>
      <c r="E175" s="656">
        <f t="shared" ref="E175" si="5">C175+D175</f>
        <v>13</v>
      </c>
      <c r="F175" s="655"/>
      <c r="G175" s="593"/>
      <c r="H175" s="215">
        <f>D175</f>
        <v>13</v>
      </c>
      <c r="I175" s="592" t="s">
        <v>16</v>
      </c>
      <c r="J175" s="221"/>
    </row>
    <row r="176" spans="1:22" s="47" customFormat="1" ht="15" customHeight="1">
      <c r="A176" s="214"/>
      <c r="B176" s="594"/>
      <c r="C176" s="657"/>
      <c r="D176" s="631"/>
      <c r="E176" s="656"/>
      <c r="F176" s="631"/>
      <c r="G176" s="212"/>
      <c r="H176" s="215"/>
      <c r="I176" s="592"/>
      <c r="J176" s="221"/>
    </row>
    <row r="177" spans="1:10" s="47" customFormat="1" ht="15" customHeight="1">
      <c r="A177" s="211" t="s">
        <v>513</v>
      </c>
      <c r="B177" s="594" t="s">
        <v>137</v>
      </c>
      <c r="C177" s="657"/>
      <c r="D177" s="212"/>
      <c r="E177" s="212"/>
      <c r="F177" s="212"/>
      <c r="G177" s="212"/>
      <c r="H177" s="215"/>
      <c r="I177" s="592"/>
      <c r="J177" s="221"/>
    </row>
    <row r="178" spans="1:10" s="47" customFormat="1" ht="15" customHeight="1">
      <c r="A178" s="214" t="s">
        <v>121</v>
      </c>
      <c r="B178" s="594" t="s">
        <v>136</v>
      </c>
      <c r="C178" s="657"/>
      <c r="D178" s="640" t="s">
        <v>207</v>
      </c>
      <c r="E178" s="656" t="s">
        <v>169</v>
      </c>
      <c r="F178" s="593"/>
      <c r="G178" s="593"/>
      <c r="H178" s="215" t="s">
        <v>56</v>
      </c>
      <c r="I178" s="594"/>
      <c r="J178" s="221"/>
    </row>
    <row r="179" spans="1:10" ht="15" customHeight="1">
      <c r="A179" s="214"/>
      <c r="B179" s="594" t="s">
        <v>199</v>
      </c>
      <c r="C179" s="657"/>
      <c r="D179" s="640">
        <f>D156</f>
        <v>60</v>
      </c>
      <c r="E179" s="658">
        <f t="shared" ref="E179" si="6">C179</f>
        <v>0</v>
      </c>
      <c r="F179" s="212"/>
      <c r="G179" s="212"/>
      <c r="H179" s="215">
        <f>D179</f>
        <v>60</v>
      </c>
      <c r="I179" s="592" t="s">
        <v>16</v>
      </c>
      <c r="J179" s="221"/>
    </row>
    <row r="180" spans="1:10" ht="15" customHeight="1">
      <c r="A180" s="214"/>
      <c r="B180" s="594" t="s">
        <v>402</v>
      </c>
      <c r="C180" s="657"/>
      <c r="D180" s="640">
        <f>D157</f>
        <v>13</v>
      </c>
      <c r="E180" s="658">
        <f t="shared" ref="E180" si="7">C180</f>
        <v>0</v>
      </c>
      <c r="F180" s="212"/>
      <c r="G180" s="212"/>
      <c r="H180" s="215">
        <f>D180</f>
        <v>13</v>
      </c>
      <c r="I180" s="592" t="s">
        <v>16</v>
      </c>
      <c r="J180" s="221"/>
    </row>
    <row r="181" spans="1:10" s="47" customFormat="1" ht="15" customHeight="1">
      <c r="A181" s="214"/>
      <c r="B181" s="594"/>
      <c r="C181" s="217"/>
      <c r="D181" s="212"/>
      <c r="E181" s="212"/>
      <c r="F181" s="212"/>
      <c r="G181" s="212"/>
      <c r="H181" s="213"/>
      <c r="I181" s="594"/>
      <c r="J181" s="221"/>
    </row>
    <row r="182" spans="1:10" s="47" customFormat="1" ht="15" customHeight="1">
      <c r="A182" s="170" t="s">
        <v>28</v>
      </c>
      <c r="B182" s="334" t="s">
        <v>221</v>
      </c>
      <c r="C182" s="212"/>
      <c r="D182" s="212"/>
      <c r="E182" s="212"/>
      <c r="F182" s="212"/>
      <c r="G182" s="212"/>
      <c r="H182" s="213"/>
      <c r="I182" s="594"/>
      <c r="J182" s="221"/>
    </row>
    <row r="183" spans="1:10" s="47" customFormat="1" ht="15" customHeight="1">
      <c r="A183" s="214" t="s">
        <v>121</v>
      </c>
      <c r="B183" s="594" t="s">
        <v>136</v>
      </c>
      <c r="C183" s="594"/>
      <c r="D183" s="631" t="s">
        <v>175</v>
      </c>
      <c r="E183" s="640" t="s">
        <v>167</v>
      </c>
      <c r="F183" s="632" t="s">
        <v>190</v>
      </c>
      <c r="G183" s="640" t="s">
        <v>191</v>
      </c>
      <c r="H183" s="215" t="s">
        <v>56</v>
      </c>
      <c r="I183" s="213"/>
      <c r="J183" s="652"/>
    </row>
    <row r="184" spans="1:10" ht="15" customHeight="1">
      <c r="A184" s="214"/>
      <c r="B184" s="594" t="s">
        <v>199</v>
      </c>
      <c r="C184" s="623"/>
      <c r="D184" s="659">
        <f>H156</f>
        <v>148.98000000000002</v>
      </c>
      <c r="E184" s="640">
        <f>D156</f>
        <v>60</v>
      </c>
      <c r="F184" s="632">
        <f>3.1416*0.3^2</f>
        <v>0.282744</v>
      </c>
      <c r="G184" s="640">
        <f t="shared" ref="G184" si="8">E184*F184</f>
        <v>16.964639999999999</v>
      </c>
      <c r="H184" s="213">
        <f>D184-G184</f>
        <v>132.01536000000002</v>
      </c>
      <c r="I184" s="594" t="s">
        <v>91</v>
      </c>
      <c r="J184" s="650"/>
    </row>
    <row r="185" spans="1:10" ht="15" customHeight="1">
      <c r="A185" s="214"/>
      <c r="B185" s="594" t="s">
        <v>402</v>
      </c>
      <c r="C185" s="623"/>
      <c r="D185" s="659">
        <f>H157</f>
        <v>42.769999999999996</v>
      </c>
      <c r="E185" s="640">
        <f>D157</f>
        <v>13</v>
      </c>
      <c r="F185" s="632">
        <f>3.1416*0.4^2</f>
        <v>0.5026560000000001</v>
      </c>
      <c r="G185" s="640">
        <f t="shared" ref="G185" si="9">E185*F185</f>
        <v>6.5345280000000017</v>
      </c>
      <c r="H185" s="213">
        <f>D185-G185</f>
        <v>36.235471999999994</v>
      </c>
      <c r="I185" s="594" t="s">
        <v>91</v>
      </c>
      <c r="J185" s="650"/>
    </row>
    <row r="186" spans="1:10" s="47" customFormat="1" ht="15" customHeight="1">
      <c r="A186" s="214"/>
      <c r="B186" s="592" t="s">
        <v>56</v>
      </c>
      <c r="C186" s="593"/>
      <c r="D186" s="593"/>
      <c r="E186" s="593"/>
      <c r="F186" s="593"/>
      <c r="G186" s="593"/>
      <c r="H186" s="215">
        <f>SUM(H184:H185)</f>
        <v>168.250832</v>
      </c>
      <c r="I186" s="592" t="s">
        <v>91</v>
      </c>
      <c r="J186" s="652"/>
    </row>
    <row r="187" spans="1:10" ht="15" customHeight="1">
      <c r="A187" s="214"/>
      <c r="B187" s="212"/>
      <c r="C187" s="212"/>
      <c r="D187" s="212"/>
      <c r="E187" s="212"/>
      <c r="F187" s="212"/>
      <c r="G187" s="212"/>
      <c r="H187" s="213"/>
      <c r="I187" s="212"/>
      <c r="J187" s="221"/>
    </row>
    <row r="188" spans="1:10" s="47" customFormat="1" ht="15" customHeight="1">
      <c r="A188" s="211" t="s">
        <v>26</v>
      </c>
      <c r="B188" s="212" t="s">
        <v>472</v>
      </c>
      <c r="C188" s="212"/>
      <c r="D188" s="212"/>
      <c r="E188" s="212"/>
      <c r="F188" s="212"/>
      <c r="G188" s="212"/>
      <c r="H188" s="213"/>
      <c r="I188" s="212"/>
      <c r="J188" s="221"/>
    </row>
    <row r="189" spans="1:10" s="47" customFormat="1" ht="15" customHeight="1">
      <c r="A189" s="214" t="s">
        <v>121</v>
      </c>
      <c r="B189" s="212" t="s">
        <v>220</v>
      </c>
      <c r="C189" s="212"/>
      <c r="D189" s="212"/>
      <c r="E189" s="212"/>
      <c r="F189" s="212"/>
      <c r="G189" s="212"/>
      <c r="H189" s="213"/>
      <c r="I189" s="212"/>
      <c r="J189" s="221"/>
    </row>
    <row r="190" spans="1:10" s="47" customFormat="1" ht="15" customHeight="1">
      <c r="A190" s="211"/>
      <c r="B190" s="212" t="s">
        <v>474</v>
      </c>
      <c r="C190" s="212"/>
      <c r="D190" s="212"/>
      <c r="E190" s="212"/>
      <c r="F190" s="212"/>
      <c r="G190" s="212"/>
      <c r="H190" s="215">
        <f>(H158-H186)*1.25*N3</f>
        <v>384.79887599999995</v>
      </c>
      <c r="I190" s="216" t="s">
        <v>143</v>
      </c>
      <c r="J190" s="221"/>
    </row>
    <row r="191" spans="1:10" s="47" customFormat="1" ht="15" customHeight="1">
      <c r="A191" s="211"/>
      <c r="B191" s="212"/>
      <c r="C191" s="212"/>
      <c r="D191" s="212"/>
      <c r="E191" s="212"/>
      <c r="F191" s="212"/>
      <c r="G191" s="212"/>
      <c r="H191" s="215"/>
      <c r="I191" s="216"/>
      <c r="J191" s="221"/>
    </row>
    <row r="192" spans="1:10" ht="15" customHeight="1">
      <c r="A192" s="170" t="s">
        <v>25</v>
      </c>
      <c r="B192" s="212" t="s">
        <v>516</v>
      </c>
      <c r="C192" s="212"/>
      <c r="D192" s="212"/>
      <c r="E192" s="212"/>
      <c r="F192" s="212"/>
      <c r="G192" s="212"/>
      <c r="H192" s="649"/>
      <c r="I192" s="649"/>
      <c r="J192" s="221"/>
    </row>
    <row r="193" spans="1:10" s="47" customFormat="1" ht="15" customHeight="1">
      <c r="A193" s="214" t="s">
        <v>121</v>
      </c>
      <c r="B193" s="212" t="s">
        <v>517</v>
      </c>
      <c r="C193" s="212"/>
      <c r="D193" s="212"/>
      <c r="E193" s="212"/>
      <c r="F193" s="212"/>
      <c r="G193" s="212"/>
      <c r="H193" s="215">
        <v>918</v>
      </c>
      <c r="I193" s="216" t="s">
        <v>16</v>
      </c>
      <c r="J193" s="221"/>
    </row>
    <row r="194" spans="1:10" ht="15" customHeight="1">
      <c r="A194" s="214" t="s">
        <v>8</v>
      </c>
      <c r="B194" s="212" t="s">
        <v>8</v>
      </c>
      <c r="C194" s="212"/>
      <c r="D194" s="212"/>
      <c r="E194" s="212"/>
      <c r="F194" s="212"/>
      <c r="G194" s="212"/>
      <c r="H194" s="623"/>
      <c r="I194" s="623"/>
      <c r="J194" s="221"/>
    </row>
    <row r="195" spans="1:10" ht="15" customHeight="1">
      <c r="A195" s="170" t="s">
        <v>24</v>
      </c>
      <c r="B195" s="212" t="s">
        <v>518</v>
      </c>
      <c r="C195" s="212"/>
      <c r="D195" s="212"/>
      <c r="E195" s="212"/>
      <c r="F195" s="212"/>
      <c r="G195" s="212"/>
      <c r="H195" s="649"/>
      <c r="I195" s="649"/>
      <c r="J195" s="221"/>
    </row>
    <row r="196" spans="1:10" s="47" customFormat="1" ht="15" customHeight="1">
      <c r="A196" s="214" t="s">
        <v>121</v>
      </c>
      <c r="B196" s="212" t="s">
        <v>517</v>
      </c>
      <c r="C196" s="212"/>
      <c r="D196" s="212"/>
      <c r="E196" s="212"/>
      <c r="F196" s="212"/>
      <c r="G196" s="212"/>
      <c r="H196" s="215">
        <v>734</v>
      </c>
      <c r="I196" s="216" t="s">
        <v>16</v>
      </c>
      <c r="J196" s="221"/>
    </row>
    <row r="197" spans="1:10" ht="15" customHeight="1">
      <c r="A197" s="214" t="s">
        <v>8</v>
      </c>
      <c r="B197" s="212" t="s">
        <v>8</v>
      </c>
      <c r="C197" s="212"/>
      <c r="D197" s="212"/>
      <c r="E197" s="212"/>
      <c r="F197" s="212"/>
      <c r="G197" s="212"/>
      <c r="H197" s="623"/>
      <c r="I197" s="623"/>
      <c r="J197" s="221"/>
    </row>
    <row r="198" spans="1:10" s="47" customFormat="1" ht="15" customHeight="1">
      <c r="A198" s="170" t="s">
        <v>22</v>
      </c>
      <c r="B198" s="220" t="s">
        <v>519</v>
      </c>
      <c r="C198" s="212"/>
      <c r="D198" s="212"/>
      <c r="E198" s="212"/>
      <c r="F198" s="212"/>
      <c r="G198" s="212"/>
      <c r="H198" s="213"/>
      <c r="I198" s="212"/>
      <c r="J198" s="221"/>
    </row>
    <row r="199" spans="1:10" s="47" customFormat="1" ht="15" customHeight="1">
      <c r="A199" s="214" t="s">
        <v>121</v>
      </c>
      <c r="B199" s="212" t="s">
        <v>520</v>
      </c>
      <c r="C199" s="212"/>
      <c r="D199" s="212"/>
      <c r="E199" s="212"/>
      <c r="F199" s="212"/>
      <c r="G199" s="212"/>
      <c r="H199" s="215">
        <v>136</v>
      </c>
      <c r="I199" s="216" t="s">
        <v>16</v>
      </c>
      <c r="J199" s="221"/>
    </row>
    <row r="200" spans="1:10" s="47" customFormat="1" ht="15" customHeight="1">
      <c r="A200" s="211"/>
      <c r="B200" s="212" t="s">
        <v>8</v>
      </c>
      <c r="C200" s="212"/>
      <c r="D200" s="212"/>
      <c r="E200" s="212"/>
      <c r="F200" s="212"/>
      <c r="G200" s="212"/>
      <c r="H200" s="594"/>
      <c r="I200" s="594"/>
      <c r="J200" s="221"/>
    </row>
    <row r="201" spans="1:10" s="47" customFormat="1" ht="15" customHeight="1">
      <c r="A201" s="170" t="s">
        <v>21</v>
      </c>
      <c r="B201" s="220" t="s">
        <v>514</v>
      </c>
      <c r="C201" s="212"/>
      <c r="D201" s="212"/>
      <c r="E201" s="212"/>
      <c r="F201" s="212"/>
      <c r="G201" s="212"/>
      <c r="H201" s="213"/>
      <c r="I201" s="212"/>
      <c r="J201" s="221"/>
    </row>
    <row r="202" spans="1:10" s="47" customFormat="1" ht="15" customHeight="1">
      <c r="A202" s="214" t="s">
        <v>121</v>
      </c>
      <c r="B202" s="212" t="s">
        <v>515</v>
      </c>
      <c r="C202" s="212"/>
      <c r="D202" s="212"/>
      <c r="E202" s="212"/>
      <c r="F202" s="212"/>
      <c r="G202" s="212"/>
      <c r="H202" s="215">
        <v>12</v>
      </c>
      <c r="I202" s="216" t="s">
        <v>138</v>
      </c>
      <c r="J202" s="221"/>
    </row>
    <row r="203" spans="1:10" s="47" customFormat="1" ht="15" customHeight="1">
      <c r="A203" s="211"/>
      <c r="B203" s="212" t="s">
        <v>8</v>
      </c>
      <c r="C203" s="212"/>
      <c r="D203" s="212"/>
      <c r="E203" s="212"/>
      <c r="F203" s="212"/>
      <c r="G203" s="212"/>
      <c r="H203" s="594"/>
      <c r="I203" s="594"/>
      <c r="J203" s="221"/>
    </row>
    <row r="204" spans="1:10" ht="15" customHeight="1">
      <c r="A204" s="170" t="s">
        <v>20</v>
      </c>
      <c r="B204" s="212" t="s">
        <v>222</v>
      </c>
      <c r="C204" s="212"/>
      <c r="D204" s="212"/>
      <c r="E204" s="212"/>
      <c r="F204" s="212"/>
      <c r="G204" s="212"/>
      <c r="H204" s="623"/>
      <c r="I204" s="623"/>
      <c r="J204" s="221"/>
    </row>
    <row r="205" spans="1:10" ht="15" customHeight="1">
      <c r="A205" s="214" t="s">
        <v>121</v>
      </c>
      <c r="B205" s="212" t="s">
        <v>521</v>
      </c>
      <c r="C205" s="212"/>
      <c r="D205" s="212"/>
      <c r="E205" s="212"/>
      <c r="F205" s="212"/>
      <c r="G205" s="212"/>
      <c r="H205" s="649">
        <v>5</v>
      </c>
      <c r="I205" s="649" t="s">
        <v>138</v>
      </c>
      <c r="J205" s="221"/>
    </row>
    <row r="206" spans="1:10" ht="15" customHeight="1">
      <c r="A206" s="211"/>
      <c r="B206" s="212"/>
      <c r="C206" s="212"/>
      <c r="D206" s="212"/>
      <c r="E206" s="212"/>
      <c r="F206" s="212"/>
      <c r="G206" s="212"/>
      <c r="H206" s="215"/>
      <c r="I206" s="216"/>
      <c r="J206" s="221"/>
    </row>
    <row r="207" spans="1:10" ht="15" customHeight="1">
      <c r="A207" s="170" t="s">
        <v>19</v>
      </c>
      <c r="B207" s="212" t="s">
        <v>401</v>
      </c>
      <c r="C207" s="212"/>
      <c r="D207" s="212"/>
      <c r="E207" s="212"/>
      <c r="F207" s="212"/>
      <c r="G207" s="212"/>
      <c r="H207" s="623"/>
      <c r="I207" s="623"/>
      <c r="J207" s="221"/>
    </row>
    <row r="208" spans="1:10" ht="15" customHeight="1">
      <c r="A208" s="214" t="s">
        <v>121</v>
      </c>
      <c r="B208" s="212" t="s">
        <v>521</v>
      </c>
      <c r="C208" s="212"/>
      <c r="D208" s="212"/>
      <c r="E208" s="212"/>
      <c r="F208" s="212"/>
      <c r="G208" s="212"/>
      <c r="H208" s="649">
        <v>2</v>
      </c>
      <c r="I208" s="649" t="s">
        <v>138</v>
      </c>
      <c r="J208" s="221"/>
    </row>
    <row r="209" spans="1:10" ht="15" customHeight="1">
      <c r="A209" s="211"/>
      <c r="B209" s="212"/>
      <c r="C209" s="212"/>
      <c r="D209" s="212"/>
      <c r="E209" s="212"/>
      <c r="F209" s="212"/>
      <c r="G209" s="212"/>
      <c r="H209" s="215"/>
      <c r="I209" s="216"/>
      <c r="J209" s="221"/>
    </row>
    <row r="210" spans="1:10" ht="15" customHeight="1">
      <c r="A210" s="599" t="s">
        <v>80</v>
      </c>
      <c r="B210" s="619" t="s">
        <v>12</v>
      </c>
      <c r="C210" s="543"/>
      <c r="D210" s="543"/>
      <c r="E210" s="543"/>
      <c r="F210" s="543"/>
      <c r="G210" s="543"/>
      <c r="H210" s="544"/>
      <c r="I210" s="545"/>
      <c r="J210" s="546"/>
    </row>
    <row r="211" spans="1:10" ht="15" customHeight="1">
      <c r="A211" s="211" t="s">
        <v>17</v>
      </c>
      <c r="B211" s="594" t="s">
        <v>113</v>
      </c>
      <c r="C211" s="593"/>
      <c r="D211" s="593"/>
      <c r="E211" s="593"/>
      <c r="F211" s="593"/>
      <c r="G211" s="593"/>
      <c r="H211" s="213"/>
      <c r="I211" s="594"/>
      <c r="J211" s="221"/>
    </row>
    <row r="212" spans="1:10" ht="15" customHeight="1">
      <c r="A212" s="214" t="s">
        <v>121</v>
      </c>
      <c r="B212" s="594" t="s">
        <v>526</v>
      </c>
      <c r="C212" s="593"/>
      <c r="D212" s="593"/>
      <c r="E212" s="593"/>
      <c r="F212" s="593"/>
      <c r="G212" s="593"/>
      <c r="H212" s="215"/>
      <c r="I212" s="216"/>
      <c r="J212" s="221"/>
    </row>
    <row r="213" spans="1:10" ht="15" customHeight="1">
      <c r="A213" s="211"/>
      <c r="B213" s="594" t="s">
        <v>119</v>
      </c>
      <c r="C213" s="660"/>
      <c r="D213" s="655" t="s">
        <v>207</v>
      </c>
      <c r="E213" s="655" t="s">
        <v>168</v>
      </c>
      <c r="F213" s="655"/>
      <c r="G213" s="593"/>
      <c r="H213" s="593" t="s">
        <v>8</v>
      </c>
      <c r="I213" s="594"/>
      <c r="J213" s="221"/>
    </row>
    <row r="214" spans="1:10" ht="15" customHeight="1">
      <c r="A214" s="214" t="s">
        <v>121</v>
      </c>
      <c r="B214" s="594" t="s">
        <v>522</v>
      </c>
      <c r="C214" s="661"/>
      <c r="D214" s="640">
        <v>886</v>
      </c>
      <c r="E214" s="640">
        <v>0.12</v>
      </c>
      <c r="F214" s="593"/>
      <c r="G214" s="593"/>
      <c r="H214" s="662">
        <f>D214*E214</f>
        <v>106.32</v>
      </c>
      <c r="I214" s="212" t="s">
        <v>90</v>
      </c>
      <c r="J214" s="221"/>
    </row>
    <row r="215" spans="1:10" ht="15" customHeight="1">
      <c r="A215" s="214"/>
      <c r="B215" s="212" t="s">
        <v>523</v>
      </c>
      <c r="C215" s="661"/>
      <c r="D215" s="632">
        <v>14</v>
      </c>
      <c r="E215" s="632">
        <v>0.12</v>
      </c>
      <c r="F215" s="212"/>
      <c r="G215" s="212"/>
      <c r="H215" s="662">
        <f t="shared" ref="H215:H217" si="10">D215*E215</f>
        <v>1.68</v>
      </c>
      <c r="I215" s="212" t="s">
        <v>90</v>
      </c>
      <c r="J215" s="221"/>
    </row>
    <row r="216" spans="1:10" ht="15" customHeight="1">
      <c r="A216" s="214"/>
      <c r="B216" s="594" t="s">
        <v>525</v>
      </c>
      <c r="C216" s="661"/>
      <c r="D216" s="632">
        <v>1772</v>
      </c>
      <c r="E216" s="632">
        <v>0.12</v>
      </c>
      <c r="F216" s="631"/>
      <c r="G216" s="631"/>
      <c r="H216" s="662">
        <f t="shared" si="10"/>
        <v>212.64</v>
      </c>
      <c r="I216" s="212" t="s">
        <v>90</v>
      </c>
      <c r="J216" s="221"/>
    </row>
    <row r="217" spans="1:10" ht="15" customHeight="1">
      <c r="A217" s="214"/>
      <c r="B217" s="212" t="s">
        <v>524</v>
      </c>
      <c r="C217" s="661"/>
      <c r="D217" s="632">
        <v>14</v>
      </c>
      <c r="E217" s="632">
        <v>0.12</v>
      </c>
      <c r="F217" s="212"/>
      <c r="G217" s="212"/>
      <c r="H217" s="662">
        <f t="shared" si="10"/>
        <v>1.68</v>
      </c>
      <c r="I217" s="212" t="s">
        <v>90</v>
      </c>
      <c r="J217" s="221"/>
    </row>
    <row r="218" spans="1:10" s="47" customFormat="1" ht="15" customHeight="1">
      <c r="A218" s="591"/>
      <c r="B218" s="592" t="s">
        <v>56</v>
      </c>
      <c r="C218" s="593"/>
      <c r="D218" s="593"/>
      <c r="E218" s="593"/>
      <c r="F218" s="593"/>
      <c r="G218" s="593"/>
      <c r="H218" s="215">
        <f>SUM(H214:H217)</f>
        <v>322.32</v>
      </c>
      <c r="I218" s="216" t="s">
        <v>90</v>
      </c>
      <c r="J218" s="221"/>
    </row>
    <row r="219" spans="1:10" ht="15" customHeight="1">
      <c r="A219" s="591"/>
      <c r="B219" s="592"/>
      <c r="C219" s="593"/>
      <c r="D219" s="593"/>
      <c r="E219" s="593"/>
      <c r="F219" s="593"/>
      <c r="G219" s="593"/>
      <c r="H219" s="213"/>
      <c r="I219" s="594"/>
      <c r="J219" s="221"/>
    </row>
    <row r="220" spans="1:10" s="47" customFormat="1" ht="15" customHeight="1">
      <c r="A220" s="591"/>
      <c r="B220" s="592"/>
      <c r="C220" s="593"/>
      <c r="D220" s="593"/>
      <c r="E220" s="593"/>
      <c r="F220" s="593"/>
      <c r="G220" s="593"/>
      <c r="H220" s="213"/>
      <c r="I220" s="594"/>
      <c r="J220" s="221"/>
    </row>
    <row r="221" spans="1:10" ht="15" customHeight="1">
      <c r="A221" s="211" t="s">
        <v>15</v>
      </c>
      <c r="B221" s="594" t="s">
        <v>114</v>
      </c>
      <c r="C221" s="593"/>
      <c r="D221" s="593"/>
      <c r="E221" s="593"/>
      <c r="F221" s="593"/>
      <c r="G221" s="593"/>
      <c r="H221" s="213"/>
      <c r="I221" s="594"/>
      <c r="J221" s="221"/>
    </row>
    <row r="222" spans="1:10" ht="15" customHeight="1">
      <c r="A222" s="214" t="s">
        <v>121</v>
      </c>
      <c r="B222" s="594" t="s">
        <v>201</v>
      </c>
      <c r="C222" s="593"/>
      <c r="D222" s="593"/>
      <c r="E222" s="593"/>
      <c r="F222" s="593"/>
      <c r="G222" s="593"/>
      <c r="H222" s="215"/>
      <c r="I222" s="216"/>
      <c r="J222" s="221"/>
    </row>
    <row r="223" spans="1:10" ht="15" customHeight="1">
      <c r="A223" s="214"/>
      <c r="B223" s="594"/>
      <c r="C223" s="655" t="s">
        <v>171</v>
      </c>
      <c r="D223" s="655" t="s">
        <v>534</v>
      </c>
      <c r="E223" s="655" t="s">
        <v>172</v>
      </c>
      <c r="F223" s="655" t="s">
        <v>213</v>
      </c>
      <c r="G223" s="593"/>
      <c r="H223" s="215"/>
      <c r="I223" s="216"/>
      <c r="J223" s="221"/>
    </row>
    <row r="224" spans="1:10" ht="15" customHeight="1">
      <c r="A224" s="591"/>
      <c r="B224" s="594" t="s">
        <v>527</v>
      </c>
      <c r="C224" s="655">
        <v>1</v>
      </c>
      <c r="D224" s="631" t="s">
        <v>535</v>
      </c>
      <c r="E224" s="640">
        <v>0.3</v>
      </c>
      <c r="F224" s="655">
        <f>C224*1</f>
        <v>1</v>
      </c>
      <c r="G224" s="593"/>
      <c r="H224" s="213">
        <f>C224*E224</f>
        <v>0.3</v>
      </c>
      <c r="I224" s="212" t="s">
        <v>90</v>
      </c>
      <c r="J224" s="221"/>
    </row>
    <row r="225" spans="1:10" ht="15" customHeight="1">
      <c r="A225" s="591"/>
      <c r="B225" s="594" t="s">
        <v>528</v>
      </c>
      <c r="C225" s="655">
        <v>7</v>
      </c>
      <c r="D225" s="631" t="s">
        <v>536</v>
      </c>
      <c r="E225" s="640">
        <f>3.1416*0.25^2</f>
        <v>0.19635</v>
      </c>
      <c r="F225" s="655">
        <f t="shared" ref="F225:F230" si="11">C225*1</f>
        <v>7</v>
      </c>
      <c r="G225" s="593"/>
      <c r="H225" s="213">
        <f t="shared" ref="H225:H231" si="12">C225*E225</f>
        <v>1.3744499999999999</v>
      </c>
      <c r="I225" s="212" t="s">
        <v>90</v>
      </c>
      <c r="J225" s="221"/>
    </row>
    <row r="226" spans="1:10" ht="15" customHeight="1">
      <c r="A226" s="591"/>
      <c r="B226" s="594" t="s">
        <v>529</v>
      </c>
      <c r="C226" s="655">
        <v>4</v>
      </c>
      <c r="D226" s="631" t="s">
        <v>536</v>
      </c>
      <c r="E226" s="640">
        <f>3.1416*0.25^2</f>
        <v>0.19635</v>
      </c>
      <c r="F226" s="655">
        <f t="shared" si="11"/>
        <v>4</v>
      </c>
      <c r="G226" s="593"/>
      <c r="H226" s="213">
        <f t="shared" si="12"/>
        <v>0.78539999999999999</v>
      </c>
      <c r="I226" s="212" t="s">
        <v>90</v>
      </c>
      <c r="J226" s="221"/>
    </row>
    <row r="227" spans="1:10" ht="15" customHeight="1">
      <c r="A227" s="591"/>
      <c r="B227" s="594" t="s">
        <v>530</v>
      </c>
      <c r="C227" s="655">
        <v>3</v>
      </c>
      <c r="D227" s="631" t="s">
        <v>537</v>
      </c>
      <c r="E227" s="640">
        <f>0.5*0.5</f>
        <v>0.25</v>
      </c>
      <c r="F227" s="655">
        <f t="shared" si="11"/>
        <v>3</v>
      </c>
      <c r="G227" s="593"/>
      <c r="H227" s="213">
        <f t="shared" si="12"/>
        <v>0.75</v>
      </c>
      <c r="I227" s="212" t="s">
        <v>90</v>
      </c>
      <c r="J227" s="221"/>
    </row>
    <row r="228" spans="1:10" ht="15" customHeight="1">
      <c r="A228" s="591"/>
      <c r="B228" s="594" t="s">
        <v>531</v>
      </c>
      <c r="C228" s="655">
        <v>3</v>
      </c>
      <c r="D228" s="631" t="s">
        <v>537</v>
      </c>
      <c r="E228" s="640">
        <f t="shared" ref="E228:E230" si="13">0.5*0.5</f>
        <v>0.25</v>
      </c>
      <c r="F228" s="655">
        <f t="shared" si="11"/>
        <v>3</v>
      </c>
      <c r="G228" s="593"/>
      <c r="H228" s="213">
        <f t="shared" si="12"/>
        <v>0.75</v>
      </c>
      <c r="I228" s="212" t="s">
        <v>90</v>
      </c>
      <c r="J228" s="221"/>
    </row>
    <row r="229" spans="1:10" ht="15" customHeight="1">
      <c r="A229" s="591"/>
      <c r="B229" s="594" t="s">
        <v>532</v>
      </c>
      <c r="C229" s="655">
        <v>1</v>
      </c>
      <c r="D229" s="631" t="s">
        <v>537</v>
      </c>
      <c r="E229" s="640">
        <f t="shared" si="13"/>
        <v>0.25</v>
      </c>
      <c r="F229" s="655">
        <f t="shared" si="11"/>
        <v>1</v>
      </c>
      <c r="G229" s="593"/>
      <c r="H229" s="213">
        <f t="shared" si="12"/>
        <v>0.25</v>
      </c>
      <c r="I229" s="212" t="s">
        <v>90</v>
      </c>
      <c r="J229" s="221"/>
    </row>
    <row r="230" spans="1:10" ht="15" customHeight="1">
      <c r="A230" s="591"/>
      <c r="B230" s="594" t="s">
        <v>533</v>
      </c>
      <c r="C230" s="655">
        <v>1</v>
      </c>
      <c r="D230" s="631" t="s">
        <v>537</v>
      </c>
      <c r="E230" s="640">
        <f t="shared" si="13"/>
        <v>0.25</v>
      </c>
      <c r="F230" s="655">
        <f t="shared" si="11"/>
        <v>1</v>
      </c>
      <c r="G230" s="593"/>
      <c r="H230" s="213">
        <f t="shared" si="12"/>
        <v>0.25</v>
      </c>
      <c r="I230" s="212" t="s">
        <v>90</v>
      </c>
      <c r="J230" s="221"/>
    </row>
    <row r="231" spans="1:10" ht="15" customHeight="1">
      <c r="A231" s="591"/>
      <c r="B231" s="594" t="s">
        <v>139</v>
      </c>
      <c r="C231" s="655">
        <v>2</v>
      </c>
      <c r="D231" s="631" t="s">
        <v>538</v>
      </c>
      <c r="E231" s="640">
        <f>2*0.5</f>
        <v>1</v>
      </c>
      <c r="F231" s="655">
        <f>C231*2</f>
        <v>4</v>
      </c>
      <c r="G231" s="593"/>
      <c r="H231" s="213">
        <f t="shared" si="12"/>
        <v>2</v>
      </c>
      <c r="I231" s="212" t="s">
        <v>90</v>
      </c>
      <c r="J231" s="221"/>
    </row>
    <row r="232" spans="1:10" ht="15" customHeight="1">
      <c r="A232" s="591"/>
      <c r="B232" s="592" t="s">
        <v>56</v>
      </c>
      <c r="C232" s="663">
        <f>SUM(C224:C231)</f>
        <v>22</v>
      </c>
      <c r="D232" s="623"/>
      <c r="E232" s="593"/>
      <c r="F232" s="663">
        <f>SUM(F224:F231)</f>
        <v>24</v>
      </c>
      <c r="G232" s="593"/>
      <c r="H232" s="215">
        <f>SUM(H224:H229)</f>
        <v>4.2098499999999994</v>
      </c>
      <c r="I232" s="216" t="s">
        <v>90</v>
      </c>
      <c r="J232" s="221"/>
    </row>
    <row r="233" spans="1:10" ht="15" customHeight="1">
      <c r="A233" s="591"/>
      <c r="B233" s="592"/>
      <c r="C233" s="593"/>
      <c r="D233" s="593"/>
      <c r="E233" s="593"/>
      <c r="F233" s="593"/>
      <c r="G233" s="593"/>
      <c r="H233" s="213"/>
      <c r="I233" s="594"/>
      <c r="J233" s="221"/>
    </row>
    <row r="234" spans="1:10" ht="15" customHeight="1">
      <c r="A234" s="211" t="s">
        <v>14</v>
      </c>
      <c r="B234" s="594" t="s">
        <v>115</v>
      </c>
      <c r="C234" s="593"/>
      <c r="D234" s="593"/>
      <c r="E234" s="593"/>
      <c r="F234" s="593"/>
      <c r="G234" s="593"/>
      <c r="H234" s="213"/>
      <c r="I234" s="212"/>
      <c r="J234" s="221"/>
    </row>
    <row r="235" spans="1:10" ht="15" customHeight="1">
      <c r="A235" s="214" t="s">
        <v>121</v>
      </c>
      <c r="B235" s="594" t="s">
        <v>586</v>
      </c>
      <c r="C235" s="593"/>
      <c r="D235" s="593"/>
      <c r="E235" s="593"/>
      <c r="F235" s="593"/>
      <c r="G235" s="593"/>
      <c r="H235" s="215"/>
      <c r="I235" s="216"/>
      <c r="J235" s="221"/>
    </row>
    <row r="236" spans="1:10" ht="15" customHeight="1">
      <c r="A236" s="591"/>
      <c r="B236" s="594" t="s">
        <v>587</v>
      </c>
      <c r="C236" s="593"/>
      <c r="D236" s="593"/>
      <c r="E236" s="593"/>
      <c r="F236" s="593"/>
      <c r="G236" s="593"/>
      <c r="H236" s="215">
        <f>F232*3</f>
        <v>72</v>
      </c>
      <c r="I236" s="216" t="s">
        <v>16</v>
      </c>
      <c r="J236" s="221"/>
    </row>
    <row r="237" spans="1:10" ht="15" customHeight="1">
      <c r="A237" s="591"/>
      <c r="B237" s="594"/>
      <c r="C237" s="593"/>
      <c r="D237" s="593"/>
      <c r="E237" s="593"/>
      <c r="F237" s="593"/>
      <c r="G237" s="593"/>
      <c r="H237" s="215"/>
      <c r="I237" s="216"/>
      <c r="J237" s="221"/>
    </row>
    <row r="238" spans="1:10" ht="15" customHeight="1">
      <c r="A238" s="211" t="s">
        <v>13</v>
      </c>
      <c r="B238" s="594" t="s">
        <v>541</v>
      </c>
      <c r="C238" s="593"/>
      <c r="D238" s="593"/>
      <c r="E238" s="593"/>
      <c r="F238" s="593"/>
      <c r="G238" s="593"/>
      <c r="H238" s="213"/>
      <c r="I238" s="212"/>
      <c r="J238" s="221"/>
    </row>
    <row r="239" spans="1:10" ht="15" customHeight="1">
      <c r="A239" s="214" t="s">
        <v>121</v>
      </c>
      <c r="B239" s="594" t="s">
        <v>542</v>
      </c>
      <c r="C239" s="593"/>
      <c r="D239" s="593"/>
      <c r="E239" s="593"/>
      <c r="F239" s="593"/>
      <c r="G239" s="593"/>
      <c r="H239" s="215"/>
      <c r="I239" s="216"/>
      <c r="J239" s="221"/>
    </row>
    <row r="240" spans="1:10" ht="15" customHeight="1">
      <c r="A240" s="591"/>
      <c r="B240" s="594" t="s">
        <v>543</v>
      </c>
      <c r="C240" s="593"/>
      <c r="D240" s="593"/>
      <c r="E240" s="593"/>
      <c r="F240" s="593"/>
      <c r="G240" s="593"/>
      <c r="H240" s="213">
        <v>111</v>
      </c>
      <c r="I240" s="623" t="s">
        <v>138</v>
      </c>
      <c r="J240" s="221"/>
    </row>
    <row r="241" spans="1:16" ht="15" customHeight="1">
      <c r="A241" s="591"/>
      <c r="B241" s="594" t="s">
        <v>544</v>
      </c>
      <c r="C241" s="593"/>
      <c r="D241" s="593"/>
      <c r="E241" s="593"/>
      <c r="F241" s="593"/>
      <c r="G241" s="593"/>
      <c r="H241" s="213">
        <v>222</v>
      </c>
      <c r="I241" s="623" t="s">
        <v>138</v>
      </c>
      <c r="J241" s="221"/>
    </row>
    <row r="242" spans="1:16" ht="15" customHeight="1">
      <c r="A242" s="591"/>
      <c r="B242" s="592" t="s">
        <v>56</v>
      </c>
      <c r="C242" s="593"/>
      <c r="D242" s="593"/>
      <c r="E242" s="593"/>
      <c r="F242" s="593"/>
      <c r="G242" s="593"/>
      <c r="H242" s="215">
        <f>SUM(H238:H241)</f>
        <v>333</v>
      </c>
      <c r="I242" s="649" t="s">
        <v>138</v>
      </c>
      <c r="J242" s="221"/>
    </row>
    <row r="243" spans="1:16" ht="15" customHeight="1">
      <c r="A243" s="591"/>
      <c r="B243" s="594"/>
      <c r="C243" s="593"/>
      <c r="D243" s="593"/>
      <c r="E243" s="593"/>
      <c r="F243" s="593"/>
      <c r="G243" s="593"/>
      <c r="H243" s="215"/>
      <c r="I243" s="216"/>
      <c r="J243" s="221"/>
    </row>
    <row r="244" spans="1:16" ht="15" customHeight="1">
      <c r="A244" s="605" t="s">
        <v>81</v>
      </c>
      <c r="B244" s="620" t="s">
        <v>545</v>
      </c>
      <c r="C244" s="606"/>
      <c r="D244" s="606"/>
      <c r="E244" s="606"/>
      <c r="F244" s="606"/>
      <c r="G244" s="606"/>
      <c r="H244" s="617"/>
      <c r="I244" s="618"/>
      <c r="J244" s="615"/>
      <c r="N244" s="564"/>
      <c r="O244" s="564"/>
      <c r="P244" s="564"/>
    </row>
    <row r="245" spans="1:16" ht="15" customHeight="1">
      <c r="A245" s="566" t="s">
        <v>11</v>
      </c>
      <c r="B245" s="572" t="s">
        <v>217</v>
      </c>
      <c r="C245" s="607"/>
      <c r="D245" s="607"/>
      <c r="E245" s="607"/>
      <c r="F245" s="607"/>
      <c r="G245" s="607"/>
      <c r="H245" s="608"/>
      <c r="I245" s="572"/>
      <c r="J245" s="616"/>
      <c r="N245" s="564"/>
      <c r="O245" s="564"/>
      <c r="P245" s="564"/>
    </row>
    <row r="246" spans="1:16" ht="15" customHeight="1">
      <c r="A246" s="568" t="s">
        <v>121</v>
      </c>
      <c r="B246" s="572" t="s">
        <v>555</v>
      </c>
      <c r="C246" s="609"/>
      <c r="D246" s="609"/>
      <c r="E246" s="610"/>
      <c r="F246" s="607"/>
      <c r="G246" s="607"/>
      <c r="H246" s="672">
        <v>1</v>
      </c>
      <c r="I246" s="614" t="s">
        <v>138</v>
      </c>
      <c r="J246" s="616"/>
      <c r="N246" s="564"/>
      <c r="O246" s="564"/>
      <c r="P246" s="564"/>
    </row>
    <row r="247" spans="1:16" ht="15" customHeight="1">
      <c r="A247" s="612"/>
      <c r="B247" s="572"/>
      <c r="C247" s="609"/>
      <c r="D247" s="613"/>
      <c r="E247" s="572"/>
      <c r="F247" s="572"/>
      <c r="G247" s="572"/>
      <c r="H247" s="611"/>
      <c r="I247" s="567"/>
      <c r="J247" s="616"/>
      <c r="N247" s="564"/>
      <c r="O247" s="564"/>
      <c r="P247" s="564"/>
    </row>
    <row r="248" spans="1:16" ht="15" customHeight="1">
      <c r="A248" s="566" t="s">
        <v>10</v>
      </c>
      <c r="B248" s="572" t="s">
        <v>142</v>
      </c>
      <c r="C248" s="607"/>
      <c r="E248" s="609" t="s">
        <v>167</v>
      </c>
      <c r="F248" s="609" t="s">
        <v>168</v>
      </c>
      <c r="G248" s="607" t="s">
        <v>642</v>
      </c>
      <c r="H248" s="608"/>
      <c r="I248" s="572"/>
      <c r="J248" s="616"/>
      <c r="N248" s="564"/>
      <c r="O248" s="564"/>
      <c r="P248" s="564"/>
    </row>
    <row r="249" spans="1:16" ht="15" customHeight="1">
      <c r="A249" s="568" t="s">
        <v>121</v>
      </c>
      <c r="B249" s="572" t="s">
        <v>641</v>
      </c>
      <c r="C249" s="609"/>
      <c r="E249" s="569">
        <f>J4</f>
        <v>900</v>
      </c>
      <c r="F249" s="613">
        <v>8</v>
      </c>
      <c r="G249" s="613">
        <v>35.299999999999997</v>
      </c>
      <c r="H249" s="571">
        <f>E249*F249+G249</f>
        <v>7235.3</v>
      </c>
      <c r="I249" s="570" t="s">
        <v>90</v>
      </c>
      <c r="J249" s="616"/>
      <c r="N249" s="564"/>
      <c r="O249" s="564"/>
      <c r="P249" s="564"/>
    </row>
    <row r="250" spans="1:16" s="574" customFormat="1" ht="15" customHeight="1">
      <c r="A250" s="568"/>
      <c r="B250" s="572"/>
      <c r="C250" s="610"/>
      <c r="D250" s="569"/>
      <c r="E250" s="572"/>
      <c r="F250" s="572"/>
      <c r="G250" s="572"/>
      <c r="H250" s="611"/>
      <c r="I250" s="567"/>
      <c r="J250" s="573"/>
      <c r="N250" s="575"/>
      <c r="O250" s="575"/>
      <c r="P250" s="575"/>
    </row>
    <row r="251" spans="1:16" ht="15" customHeight="1">
      <c r="A251" s="566" t="s">
        <v>554</v>
      </c>
      <c r="B251" s="572" t="s">
        <v>548</v>
      </c>
      <c r="C251" s="607"/>
      <c r="D251" s="607"/>
      <c r="E251" s="609"/>
      <c r="F251" s="609"/>
      <c r="G251" s="607"/>
      <c r="H251" s="608"/>
      <c r="I251" s="572"/>
      <c r="J251" s="616"/>
      <c r="N251" s="564"/>
      <c r="O251" s="564"/>
      <c r="P251" s="564"/>
    </row>
    <row r="252" spans="1:16" ht="15" customHeight="1">
      <c r="A252" s="568" t="s">
        <v>121</v>
      </c>
      <c r="B252" s="572" t="s">
        <v>549</v>
      </c>
      <c r="C252" s="609"/>
      <c r="D252" s="609"/>
      <c r="E252" s="569"/>
      <c r="F252" s="613"/>
      <c r="G252" s="607"/>
      <c r="H252" s="611" t="s">
        <v>547</v>
      </c>
      <c r="I252" s="570" t="s">
        <v>8</v>
      </c>
      <c r="J252" s="616"/>
      <c r="N252" s="564"/>
      <c r="O252" s="564"/>
      <c r="P252" s="564"/>
    </row>
    <row r="253" spans="1:16" s="574" customFormat="1" ht="15" customHeight="1">
      <c r="A253" s="568"/>
      <c r="B253" s="572"/>
      <c r="C253" s="610"/>
      <c r="D253" s="569"/>
      <c r="E253" s="572"/>
      <c r="F253" s="572"/>
      <c r="G253" s="572"/>
      <c r="H253" s="611"/>
      <c r="I253" s="567"/>
      <c r="J253" s="573"/>
      <c r="N253" s="575"/>
      <c r="O253" s="575"/>
      <c r="P253" s="575"/>
    </row>
    <row r="254" spans="1:16" ht="15" customHeight="1">
      <c r="A254" s="566" t="s">
        <v>417</v>
      </c>
      <c r="B254" s="572" t="s">
        <v>415</v>
      </c>
      <c r="C254" s="607"/>
      <c r="D254" s="607"/>
      <c r="E254" s="607"/>
      <c r="F254" s="607"/>
      <c r="G254" s="607"/>
      <c r="H254" s="608"/>
      <c r="I254" s="572"/>
      <c r="J254" s="616"/>
      <c r="N254" s="564"/>
      <c r="O254" s="564"/>
      <c r="P254" s="564"/>
    </row>
    <row r="255" spans="1:16" ht="15" customHeight="1">
      <c r="A255" s="568" t="s">
        <v>121</v>
      </c>
      <c r="B255" s="572" t="s">
        <v>546</v>
      </c>
      <c r="C255" s="609"/>
      <c r="D255" s="609"/>
      <c r="E255" s="610"/>
      <c r="F255" s="607"/>
      <c r="G255" s="607"/>
      <c r="H255" s="611" t="s">
        <v>547</v>
      </c>
      <c r="I255" s="572"/>
      <c r="J255" s="616"/>
      <c r="N255" s="564"/>
      <c r="O255" s="564"/>
      <c r="P255" s="564"/>
    </row>
    <row r="256" spans="1:16" ht="15" customHeight="1" thickBot="1">
      <c r="A256" s="664"/>
      <c r="B256" s="665"/>
      <c r="C256" s="666"/>
      <c r="D256" s="666"/>
      <c r="E256" s="666"/>
      <c r="F256" s="666"/>
      <c r="G256" s="666"/>
      <c r="H256" s="667"/>
      <c r="I256" s="668"/>
      <c r="J256" s="669"/>
    </row>
  </sheetData>
  <sheetProtection selectLockedCells="1" selectUnlockedCells="1"/>
  <mergeCells count="2">
    <mergeCell ref="A2:J2"/>
    <mergeCell ref="A1:J1"/>
  </mergeCells>
  <printOptions horizontalCentered="1"/>
  <pageMargins left="1.1811023622047245" right="1.1811023622047245" top="1.1811023622047245" bottom="0.98425196850393704" header="0.19685039370078741" footer="0.19685039370078741"/>
  <pageSetup paperSize="9" scale="65" fitToHeight="7" orientation="landscape" r:id="rId1"/>
  <headerFooter>
    <oddHeader xml:space="preserve">&amp;R&amp;12
</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R46"/>
  <sheetViews>
    <sheetView zoomScale="90" zoomScaleNormal="90" workbookViewId="0">
      <selection activeCell="D42" sqref="D42"/>
    </sheetView>
  </sheetViews>
  <sheetFormatPr defaultRowHeight="12.75"/>
  <cols>
    <col min="1" max="1" width="9.140625" style="701"/>
    <col min="2" max="2" width="66.85546875" style="701" customWidth="1"/>
    <col min="3" max="8" width="15.7109375" style="702" customWidth="1"/>
    <col min="9" max="16384" width="9.140625" style="701"/>
  </cols>
  <sheetData>
    <row r="1" spans="2:8" ht="15" customHeight="1" thickBot="1">
      <c r="C1" s="701"/>
      <c r="D1" s="701"/>
      <c r="E1" s="701"/>
      <c r="F1" s="701"/>
      <c r="G1" s="701"/>
      <c r="H1" s="701"/>
    </row>
    <row r="2" spans="2:8" ht="15" customHeight="1">
      <c r="B2" s="881" t="s">
        <v>453</v>
      </c>
      <c r="C2" s="882"/>
      <c r="D2" s="882"/>
      <c r="E2" s="882"/>
      <c r="F2" s="882"/>
      <c r="G2" s="882"/>
      <c r="H2" s="883"/>
    </row>
    <row r="3" spans="2:8" ht="15" customHeight="1">
      <c r="B3" s="884" t="s">
        <v>635</v>
      </c>
      <c r="C3" s="885"/>
      <c r="D3" s="885"/>
      <c r="E3" s="885"/>
      <c r="F3" s="885"/>
      <c r="G3" s="885"/>
      <c r="H3" s="886"/>
    </row>
    <row r="4" spans="2:8" ht="15" customHeight="1">
      <c r="B4" s="737"/>
      <c r="C4" s="738"/>
      <c r="D4" s="738"/>
      <c r="E4" s="738"/>
      <c r="F4" s="738"/>
      <c r="G4" s="738"/>
      <c r="H4" s="739"/>
    </row>
    <row r="5" spans="2:8" ht="15" customHeight="1">
      <c r="B5" s="733" t="s">
        <v>455</v>
      </c>
      <c r="C5" s="734"/>
      <c r="D5" s="734"/>
      <c r="E5" s="734"/>
      <c r="F5" s="734"/>
      <c r="G5" s="736" t="s">
        <v>422</v>
      </c>
      <c r="H5" s="525" t="s">
        <v>588</v>
      </c>
    </row>
    <row r="6" spans="2:8" ht="15" customHeight="1">
      <c r="B6" s="733" t="s">
        <v>637</v>
      </c>
      <c r="C6" s="734"/>
      <c r="D6" s="734"/>
      <c r="E6" s="734"/>
      <c r="F6" s="734"/>
      <c r="G6" s="526" t="s">
        <v>636</v>
      </c>
      <c r="H6" s="525" t="s">
        <v>589</v>
      </c>
    </row>
    <row r="7" spans="2:8" ht="15" customHeight="1">
      <c r="B7" s="733"/>
      <c r="C7" s="734"/>
      <c r="D7" s="734"/>
      <c r="E7" s="734"/>
      <c r="F7" s="734"/>
      <c r="G7" s="526" t="s">
        <v>425</v>
      </c>
      <c r="H7" s="735" t="s">
        <v>91</v>
      </c>
    </row>
    <row r="8" spans="2:8" ht="15" customHeight="1">
      <c r="B8" s="703" t="s">
        <v>602</v>
      </c>
      <c r="C8" s="704"/>
      <c r="D8" s="705"/>
      <c r="E8" s="874" t="s">
        <v>603</v>
      </c>
      <c r="F8" s="876" t="s">
        <v>604</v>
      </c>
      <c r="G8" s="874" t="s">
        <v>605</v>
      </c>
      <c r="H8" s="706" t="s">
        <v>605</v>
      </c>
    </row>
    <row r="9" spans="2:8" ht="15" customHeight="1">
      <c r="B9" s="707" t="s">
        <v>606</v>
      </c>
      <c r="C9" s="708"/>
      <c r="D9" s="708"/>
      <c r="E9" s="875"/>
      <c r="F9" s="877"/>
      <c r="G9" s="875"/>
      <c r="H9" s="709" t="s">
        <v>607</v>
      </c>
    </row>
    <row r="10" spans="2:8" ht="15" customHeight="1">
      <c r="B10" s="878" t="s">
        <v>608</v>
      </c>
      <c r="C10" s="879"/>
      <c r="D10" s="880"/>
      <c r="E10" s="710" t="s">
        <v>609</v>
      </c>
      <c r="F10" s="711">
        <v>4.6399999999999997E-2</v>
      </c>
      <c r="G10" s="712">
        <v>215.49</v>
      </c>
      <c r="H10" s="713">
        <f>F10*G10</f>
        <v>9.9987359999999992</v>
      </c>
    </row>
    <row r="11" spans="2:8" ht="15" customHeight="1">
      <c r="B11" s="868" t="s">
        <v>610</v>
      </c>
      <c r="C11" s="869"/>
      <c r="D11" s="870"/>
      <c r="E11" s="712" t="s">
        <v>611</v>
      </c>
      <c r="F11" s="711">
        <v>9.4899999999999998E-2</v>
      </c>
      <c r="G11" s="712">
        <v>90.58</v>
      </c>
      <c r="H11" s="713">
        <f t="shared" ref="H11:H18" si="0">F11*G11</f>
        <v>8.5960419999999989</v>
      </c>
    </row>
    <row r="12" spans="2:8" ht="15" customHeight="1">
      <c r="B12" s="871" t="s">
        <v>612</v>
      </c>
      <c r="C12" s="872"/>
      <c r="D12" s="873"/>
      <c r="E12" s="712" t="s">
        <v>609</v>
      </c>
      <c r="F12" s="711">
        <v>4.6399999999999997E-2</v>
      </c>
      <c r="G12" s="712">
        <v>19.559999999999999</v>
      </c>
      <c r="H12" s="713">
        <f t="shared" si="0"/>
        <v>0.90758399999999984</v>
      </c>
    </row>
    <row r="13" spans="2:8" ht="15" customHeight="1">
      <c r="B13" s="868" t="s">
        <v>613</v>
      </c>
      <c r="C13" s="869"/>
      <c r="D13" s="870"/>
      <c r="E13" s="712" t="s">
        <v>609</v>
      </c>
      <c r="F13" s="711">
        <v>8.0500000000000002E-2</v>
      </c>
      <c r="G13" s="712">
        <v>169.22</v>
      </c>
      <c r="H13" s="713">
        <f>F13*G13</f>
        <v>13.622210000000001</v>
      </c>
    </row>
    <row r="14" spans="2:8" ht="15" customHeight="1">
      <c r="B14" s="868" t="s">
        <v>614</v>
      </c>
      <c r="C14" s="869"/>
      <c r="D14" s="870"/>
      <c r="E14" s="712" t="s">
        <v>611</v>
      </c>
      <c r="F14" s="711">
        <v>6.0699999999999997E-2</v>
      </c>
      <c r="G14" s="712">
        <v>52.82</v>
      </c>
      <c r="H14" s="713">
        <f>F14*G14</f>
        <v>3.2061739999999999</v>
      </c>
    </row>
    <row r="15" spans="2:8" ht="15" customHeight="1">
      <c r="B15" s="868" t="s">
        <v>615</v>
      </c>
      <c r="C15" s="869"/>
      <c r="D15" s="870"/>
      <c r="E15" s="712" t="s">
        <v>611</v>
      </c>
      <c r="F15" s="711">
        <v>0.1071</v>
      </c>
      <c r="G15" s="712">
        <v>39.700000000000003</v>
      </c>
      <c r="H15" s="713">
        <f>F15*G15</f>
        <v>4.2518700000000003</v>
      </c>
    </row>
    <row r="16" spans="2:8" ht="15" customHeight="1">
      <c r="B16" s="868" t="s">
        <v>616</v>
      </c>
      <c r="C16" s="869"/>
      <c r="D16" s="870"/>
      <c r="E16" s="712" t="s">
        <v>609</v>
      </c>
      <c r="F16" s="711">
        <v>3.4099999999999998E-2</v>
      </c>
      <c r="G16" s="712">
        <v>87.56</v>
      </c>
      <c r="H16" s="713">
        <f>F16*G16</f>
        <v>2.9857960000000001</v>
      </c>
    </row>
    <row r="17" spans="2:8" ht="15" customHeight="1">
      <c r="B17" s="871" t="s">
        <v>617</v>
      </c>
      <c r="C17" s="872"/>
      <c r="D17" s="873"/>
      <c r="E17" s="712" t="s">
        <v>609</v>
      </c>
      <c r="F17" s="711">
        <v>4.19E-2</v>
      </c>
      <c r="G17" s="712">
        <v>141.65</v>
      </c>
      <c r="H17" s="713">
        <f t="shared" si="0"/>
        <v>5.9351349999999998</v>
      </c>
    </row>
    <row r="18" spans="2:8" ht="15" customHeight="1">
      <c r="B18" s="871" t="s">
        <v>618</v>
      </c>
      <c r="C18" s="872"/>
      <c r="D18" s="873"/>
      <c r="E18" s="712" t="s">
        <v>611</v>
      </c>
      <c r="F18" s="711">
        <v>0.24060000000000001</v>
      </c>
      <c r="G18" s="712">
        <v>56.33</v>
      </c>
      <c r="H18" s="713">
        <f t="shared" si="0"/>
        <v>13.552998000000001</v>
      </c>
    </row>
    <row r="19" spans="2:8" ht="15" customHeight="1">
      <c r="B19" s="714"/>
      <c r="C19" s="715"/>
      <c r="D19" s="715"/>
      <c r="E19" s="715"/>
      <c r="F19" s="715"/>
      <c r="G19" s="716" t="s">
        <v>619</v>
      </c>
      <c r="H19" s="717">
        <f>SUM(H10:H18)</f>
        <v>63.056545000000007</v>
      </c>
    </row>
    <row r="20" spans="2:8" ht="15" customHeight="1">
      <c r="B20" s="703" t="s">
        <v>620</v>
      </c>
      <c r="C20" s="704"/>
      <c r="D20" s="704"/>
      <c r="E20" s="718"/>
      <c r="F20" s="718"/>
      <c r="G20" s="718" t="s">
        <v>621</v>
      </c>
      <c r="H20" s="706" t="s">
        <v>605</v>
      </c>
    </row>
    <row r="21" spans="2:8" ht="15" customHeight="1">
      <c r="B21" s="707" t="s">
        <v>606</v>
      </c>
      <c r="C21" s="708"/>
      <c r="D21" s="708"/>
      <c r="E21" s="719" t="s">
        <v>603</v>
      </c>
      <c r="F21" s="719" t="s">
        <v>604</v>
      </c>
      <c r="G21" s="719" t="s">
        <v>622</v>
      </c>
      <c r="H21" s="709" t="s">
        <v>607</v>
      </c>
    </row>
    <row r="22" spans="2:8" ht="15" customHeight="1">
      <c r="B22" s="431" t="s">
        <v>623</v>
      </c>
      <c r="C22" s="720"/>
      <c r="D22" s="720"/>
      <c r="E22" s="721" t="s">
        <v>624</v>
      </c>
      <c r="F22" s="721">
        <v>1.1301000000000001</v>
      </c>
      <c r="G22" s="722">
        <v>19.559999999999999</v>
      </c>
      <c r="H22" s="723">
        <f>F22*G22</f>
        <v>22.104756000000002</v>
      </c>
    </row>
    <row r="23" spans="2:8" ht="15" customHeight="1">
      <c r="B23" s="431"/>
      <c r="C23" s="720"/>
      <c r="D23" s="720"/>
      <c r="E23" s="724"/>
      <c r="F23" s="724"/>
      <c r="G23" s="725"/>
      <c r="H23" s="723"/>
    </row>
    <row r="24" spans="2:8" ht="15" customHeight="1">
      <c r="B24" s="714"/>
      <c r="C24" s="715"/>
      <c r="D24" s="715"/>
      <c r="E24" s="715"/>
      <c r="F24" s="715"/>
      <c r="G24" s="716" t="s">
        <v>625</v>
      </c>
      <c r="H24" s="726">
        <f>SUM(H22:H23)</f>
        <v>22.104756000000002</v>
      </c>
    </row>
    <row r="25" spans="2:8" ht="15" customHeight="1">
      <c r="B25" s="714" t="s">
        <v>626</v>
      </c>
      <c r="C25" s="715"/>
      <c r="D25" s="715"/>
      <c r="E25" s="715"/>
      <c r="F25" s="727" t="s">
        <v>627</v>
      </c>
      <c r="G25" s="716"/>
      <c r="H25" s="717">
        <f>H19+H24</f>
        <v>85.161301000000009</v>
      </c>
    </row>
    <row r="26" spans="2:8" ht="15" customHeight="1">
      <c r="B26" s="714" t="s">
        <v>628</v>
      </c>
      <c r="C26" s="715"/>
      <c r="D26" s="715"/>
      <c r="E26" s="715"/>
      <c r="F26" s="716"/>
      <c r="G26" s="716"/>
      <c r="H26" s="717">
        <f>H25/1</f>
        <v>85.161301000000009</v>
      </c>
    </row>
    <row r="27" spans="2:8" ht="15" customHeight="1">
      <c r="B27" s="703" t="s">
        <v>629</v>
      </c>
      <c r="C27" s="704"/>
      <c r="D27" s="704"/>
      <c r="E27" s="718"/>
      <c r="F27" s="718"/>
      <c r="G27" s="718" t="s">
        <v>8</v>
      </c>
      <c r="H27" s="706" t="s">
        <v>605</v>
      </c>
    </row>
    <row r="28" spans="2:8" ht="15" customHeight="1">
      <c r="B28" s="707" t="s">
        <v>606</v>
      </c>
      <c r="C28" s="708"/>
      <c r="D28" s="708"/>
      <c r="E28" s="719" t="s">
        <v>603</v>
      </c>
      <c r="F28" s="719" t="s">
        <v>630</v>
      </c>
      <c r="G28" s="719" t="s">
        <v>605</v>
      </c>
      <c r="H28" s="709" t="s">
        <v>631</v>
      </c>
    </row>
    <row r="29" spans="2:8" ht="15" customHeight="1">
      <c r="B29" s="431" t="s">
        <v>632</v>
      </c>
      <c r="C29" s="720"/>
      <c r="D29" s="720"/>
      <c r="E29" s="721" t="s">
        <v>69</v>
      </c>
      <c r="F29" s="728">
        <v>2.5548000000000002</v>
      </c>
      <c r="G29" s="712">
        <v>258.23</v>
      </c>
      <c r="H29" s="723">
        <f>F29*G29</f>
        <v>659.7260040000001</v>
      </c>
    </row>
    <row r="30" spans="2:8" ht="15" customHeight="1">
      <c r="B30" s="431"/>
      <c r="C30" s="720"/>
      <c r="D30" s="720"/>
      <c r="E30" s="724"/>
      <c r="F30" s="729"/>
      <c r="G30" s="729"/>
      <c r="H30" s="723"/>
    </row>
    <row r="31" spans="2:8" ht="15" customHeight="1">
      <c r="B31" s="714"/>
      <c r="C31" s="715"/>
      <c r="D31" s="715"/>
      <c r="E31" s="715"/>
      <c r="F31" s="715"/>
      <c r="G31" s="716" t="s">
        <v>633</v>
      </c>
      <c r="H31" s="726">
        <f>SUM(H29:H30)</f>
        <v>659.7260040000001</v>
      </c>
    </row>
    <row r="32" spans="2:8" ht="15" customHeight="1" thickBot="1">
      <c r="B32" s="730" t="s">
        <v>634</v>
      </c>
      <c r="C32" s="731"/>
      <c r="D32" s="731"/>
      <c r="E32" s="731"/>
      <c r="F32" s="731"/>
      <c r="G32" s="731"/>
      <c r="H32" s="732">
        <f>H26+H31</f>
        <v>744.88730500000008</v>
      </c>
    </row>
    <row r="34" spans="2:18">
      <c r="B34" s="701" t="s">
        <v>8</v>
      </c>
    </row>
    <row r="46" spans="2:18">
      <c r="R46" s="701" t="s">
        <v>8</v>
      </c>
    </row>
  </sheetData>
  <sheetProtection selectLockedCells="1" selectUnlockedCells="1"/>
  <mergeCells count="14">
    <mergeCell ref="B2:H2"/>
    <mergeCell ref="B3:H3"/>
    <mergeCell ref="B13:D13"/>
    <mergeCell ref="B14:D14"/>
    <mergeCell ref="B15:D15"/>
    <mergeCell ref="G8:G9"/>
    <mergeCell ref="B16:D16"/>
    <mergeCell ref="B17:D17"/>
    <mergeCell ref="B18:D18"/>
    <mergeCell ref="E8:E9"/>
    <mergeCell ref="F8:F9"/>
    <mergeCell ref="B10:D10"/>
    <mergeCell ref="B11:D11"/>
    <mergeCell ref="B12:D12"/>
  </mergeCells>
  <printOptions horizontalCentered="1"/>
  <pageMargins left="0.98425196850393704" right="1.1811023622047245" top="1.1811023622047245" bottom="0.78740157480314965" header="0.31496062992125984" footer="0.31496062992125984"/>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sheetPr>
    <pageSetUpPr fitToPage="1"/>
  </sheetPr>
  <dimension ref="B1:T39"/>
  <sheetViews>
    <sheetView zoomScale="90" zoomScaleNormal="90" workbookViewId="0">
      <selection activeCell="D42" sqref="D42"/>
    </sheetView>
  </sheetViews>
  <sheetFormatPr defaultRowHeight="14.85" customHeight="1"/>
  <cols>
    <col min="1" max="1" width="9.140625" style="311"/>
    <col min="2" max="2" width="8" style="311" customWidth="1"/>
    <col min="3" max="3" width="62.7109375" style="311" customWidth="1"/>
    <col min="4" max="4" width="5.7109375" style="311" customWidth="1"/>
    <col min="5" max="5" width="4.28515625" style="311" customWidth="1"/>
    <col min="6" max="6" width="8" style="311" customWidth="1"/>
    <col min="7" max="7" width="14.5703125" style="88" customWidth="1"/>
    <col min="8" max="8" width="8.28515625" style="311" customWidth="1"/>
    <col min="9" max="9" width="22" style="311" customWidth="1"/>
    <col min="10" max="10" width="21.5703125" style="88" customWidth="1"/>
    <col min="11" max="11" width="19.140625" style="88" customWidth="1"/>
    <col min="12" max="12" width="9.140625" style="311"/>
    <col min="13" max="13" width="8.85546875" style="311" customWidth="1"/>
    <col min="14" max="14" width="9.140625" style="311"/>
    <col min="15" max="16" width="9.28515625" style="311" customWidth="1"/>
    <col min="17" max="257" width="9.140625" style="311"/>
    <col min="258" max="258" width="8" style="311" customWidth="1"/>
    <col min="259" max="259" width="62.7109375" style="311" customWidth="1"/>
    <col min="260" max="260" width="5.7109375" style="311" customWidth="1"/>
    <col min="261" max="261" width="4.28515625" style="311" customWidth="1"/>
    <col min="262" max="262" width="8" style="311" customWidth="1"/>
    <col min="263" max="263" width="14.5703125" style="311" customWidth="1"/>
    <col min="264" max="264" width="8.28515625" style="311" customWidth="1"/>
    <col min="265" max="265" width="22" style="311" customWidth="1"/>
    <col min="266" max="266" width="21.5703125" style="311" customWidth="1"/>
    <col min="267" max="267" width="19.140625" style="311" customWidth="1"/>
    <col min="268" max="268" width="9.140625" style="311"/>
    <col min="269" max="269" width="8.85546875" style="311" customWidth="1"/>
    <col min="270" max="270" width="9.140625" style="311"/>
    <col min="271" max="272" width="9.28515625" style="311" customWidth="1"/>
    <col min="273" max="513" width="9.140625" style="311"/>
    <col min="514" max="514" width="8" style="311" customWidth="1"/>
    <col min="515" max="515" width="62.7109375" style="311" customWidth="1"/>
    <col min="516" max="516" width="5.7109375" style="311" customWidth="1"/>
    <col min="517" max="517" width="4.28515625" style="311" customWidth="1"/>
    <col min="518" max="518" width="8" style="311" customWidth="1"/>
    <col min="519" max="519" width="14.5703125" style="311" customWidth="1"/>
    <col min="520" max="520" width="8.28515625" style="311" customWidth="1"/>
    <col min="521" max="521" width="22" style="311" customWidth="1"/>
    <col min="522" max="522" width="21.5703125" style="311" customWidth="1"/>
    <col min="523" max="523" width="19.140625" style="311" customWidth="1"/>
    <col min="524" max="524" width="9.140625" style="311"/>
    <col min="525" max="525" width="8.85546875" style="311" customWidth="1"/>
    <col min="526" max="526" width="9.140625" style="311"/>
    <col min="527" max="528" width="9.28515625" style="311" customWidth="1"/>
    <col min="529" max="769" width="9.140625" style="311"/>
    <col min="770" max="770" width="8" style="311" customWidth="1"/>
    <col min="771" max="771" width="62.7109375" style="311" customWidth="1"/>
    <col min="772" max="772" width="5.7109375" style="311" customWidth="1"/>
    <col min="773" max="773" width="4.28515625" style="311" customWidth="1"/>
    <col min="774" max="774" width="8" style="311" customWidth="1"/>
    <col min="775" max="775" width="14.5703125" style="311" customWidth="1"/>
    <col min="776" max="776" width="8.28515625" style="311" customWidth="1"/>
    <col min="777" max="777" width="22" style="311" customWidth="1"/>
    <col min="778" max="778" width="21.5703125" style="311" customWidth="1"/>
    <col min="779" max="779" width="19.140625" style="311" customWidth="1"/>
    <col min="780" max="780" width="9.140625" style="311"/>
    <col min="781" max="781" width="8.85546875" style="311" customWidth="1"/>
    <col min="782" max="782" width="9.140625" style="311"/>
    <col min="783" max="784" width="9.28515625" style="311" customWidth="1"/>
    <col min="785" max="1025" width="9.140625" style="311"/>
    <col min="1026" max="1026" width="8" style="311" customWidth="1"/>
    <col min="1027" max="1027" width="62.7109375" style="311" customWidth="1"/>
    <col min="1028" max="1028" width="5.7109375" style="311" customWidth="1"/>
    <col min="1029" max="1029" width="4.28515625" style="311" customWidth="1"/>
    <col min="1030" max="1030" width="8" style="311" customWidth="1"/>
    <col min="1031" max="1031" width="14.5703125" style="311" customWidth="1"/>
    <col min="1032" max="1032" width="8.28515625" style="311" customWidth="1"/>
    <col min="1033" max="1033" width="22" style="311" customWidth="1"/>
    <col min="1034" max="1034" width="21.5703125" style="311" customWidth="1"/>
    <col min="1035" max="1035" width="19.140625" style="311" customWidth="1"/>
    <col min="1036" max="1036" width="9.140625" style="311"/>
    <col min="1037" max="1037" width="8.85546875" style="311" customWidth="1"/>
    <col min="1038" max="1038" width="9.140625" style="311"/>
    <col min="1039" max="1040" width="9.28515625" style="311" customWidth="1"/>
    <col min="1041" max="1281" width="9.140625" style="311"/>
    <col min="1282" max="1282" width="8" style="311" customWidth="1"/>
    <col min="1283" max="1283" width="62.7109375" style="311" customWidth="1"/>
    <col min="1284" max="1284" width="5.7109375" style="311" customWidth="1"/>
    <col min="1285" max="1285" width="4.28515625" style="311" customWidth="1"/>
    <col min="1286" max="1286" width="8" style="311" customWidth="1"/>
    <col min="1287" max="1287" width="14.5703125" style="311" customWidth="1"/>
    <col min="1288" max="1288" width="8.28515625" style="311" customWidth="1"/>
    <col min="1289" max="1289" width="22" style="311" customWidth="1"/>
    <col min="1290" max="1290" width="21.5703125" style="311" customWidth="1"/>
    <col min="1291" max="1291" width="19.140625" style="311" customWidth="1"/>
    <col min="1292" max="1292" width="9.140625" style="311"/>
    <col min="1293" max="1293" width="8.85546875" style="311" customWidth="1"/>
    <col min="1294" max="1294" width="9.140625" style="311"/>
    <col min="1295" max="1296" width="9.28515625" style="311" customWidth="1"/>
    <col min="1297" max="1537" width="9.140625" style="311"/>
    <col min="1538" max="1538" width="8" style="311" customWidth="1"/>
    <col min="1539" max="1539" width="62.7109375" style="311" customWidth="1"/>
    <col min="1540" max="1540" width="5.7109375" style="311" customWidth="1"/>
    <col min="1541" max="1541" width="4.28515625" style="311" customWidth="1"/>
    <col min="1542" max="1542" width="8" style="311" customWidth="1"/>
    <col min="1543" max="1543" width="14.5703125" style="311" customWidth="1"/>
    <col min="1544" max="1544" width="8.28515625" style="311" customWidth="1"/>
    <col min="1545" max="1545" width="22" style="311" customWidth="1"/>
    <col min="1546" max="1546" width="21.5703125" style="311" customWidth="1"/>
    <col min="1547" max="1547" width="19.140625" style="311" customWidth="1"/>
    <col min="1548" max="1548" width="9.140625" style="311"/>
    <col min="1549" max="1549" width="8.85546875" style="311" customWidth="1"/>
    <col min="1550" max="1550" width="9.140625" style="311"/>
    <col min="1551" max="1552" width="9.28515625" style="311" customWidth="1"/>
    <col min="1553" max="1793" width="9.140625" style="311"/>
    <col min="1794" max="1794" width="8" style="311" customWidth="1"/>
    <col min="1795" max="1795" width="62.7109375" style="311" customWidth="1"/>
    <col min="1796" max="1796" width="5.7109375" style="311" customWidth="1"/>
    <col min="1797" max="1797" width="4.28515625" style="311" customWidth="1"/>
    <col min="1798" max="1798" width="8" style="311" customWidth="1"/>
    <col min="1799" max="1799" width="14.5703125" style="311" customWidth="1"/>
    <col min="1800" max="1800" width="8.28515625" style="311" customWidth="1"/>
    <col min="1801" max="1801" width="22" style="311" customWidth="1"/>
    <col min="1802" max="1802" width="21.5703125" style="311" customWidth="1"/>
    <col min="1803" max="1803" width="19.140625" style="311" customWidth="1"/>
    <col min="1804" max="1804" width="9.140625" style="311"/>
    <col min="1805" max="1805" width="8.85546875" style="311" customWidth="1"/>
    <col min="1806" max="1806" width="9.140625" style="311"/>
    <col min="1807" max="1808" width="9.28515625" style="311" customWidth="1"/>
    <col min="1809" max="2049" width="9.140625" style="311"/>
    <col min="2050" max="2050" width="8" style="311" customWidth="1"/>
    <col min="2051" max="2051" width="62.7109375" style="311" customWidth="1"/>
    <col min="2052" max="2052" width="5.7109375" style="311" customWidth="1"/>
    <col min="2053" max="2053" width="4.28515625" style="311" customWidth="1"/>
    <col min="2054" max="2054" width="8" style="311" customWidth="1"/>
    <col min="2055" max="2055" width="14.5703125" style="311" customWidth="1"/>
    <col min="2056" max="2056" width="8.28515625" style="311" customWidth="1"/>
    <col min="2057" max="2057" width="22" style="311" customWidth="1"/>
    <col min="2058" max="2058" width="21.5703125" style="311" customWidth="1"/>
    <col min="2059" max="2059" width="19.140625" style="311" customWidth="1"/>
    <col min="2060" max="2060" width="9.140625" style="311"/>
    <col min="2061" max="2061" width="8.85546875" style="311" customWidth="1"/>
    <col min="2062" max="2062" width="9.140625" style="311"/>
    <col min="2063" max="2064" width="9.28515625" style="311" customWidth="1"/>
    <col min="2065" max="2305" width="9.140625" style="311"/>
    <col min="2306" max="2306" width="8" style="311" customWidth="1"/>
    <col min="2307" max="2307" width="62.7109375" style="311" customWidth="1"/>
    <col min="2308" max="2308" width="5.7109375" style="311" customWidth="1"/>
    <col min="2309" max="2309" width="4.28515625" style="311" customWidth="1"/>
    <col min="2310" max="2310" width="8" style="311" customWidth="1"/>
    <col min="2311" max="2311" width="14.5703125" style="311" customWidth="1"/>
    <col min="2312" max="2312" width="8.28515625" style="311" customWidth="1"/>
    <col min="2313" max="2313" width="22" style="311" customWidth="1"/>
    <col min="2314" max="2314" width="21.5703125" style="311" customWidth="1"/>
    <col min="2315" max="2315" width="19.140625" style="311" customWidth="1"/>
    <col min="2316" max="2316" width="9.140625" style="311"/>
    <col min="2317" max="2317" width="8.85546875" style="311" customWidth="1"/>
    <col min="2318" max="2318" width="9.140625" style="311"/>
    <col min="2319" max="2320" width="9.28515625" style="311" customWidth="1"/>
    <col min="2321" max="2561" width="9.140625" style="311"/>
    <col min="2562" max="2562" width="8" style="311" customWidth="1"/>
    <col min="2563" max="2563" width="62.7109375" style="311" customWidth="1"/>
    <col min="2564" max="2564" width="5.7109375" style="311" customWidth="1"/>
    <col min="2565" max="2565" width="4.28515625" style="311" customWidth="1"/>
    <col min="2566" max="2566" width="8" style="311" customWidth="1"/>
    <col min="2567" max="2567" width="14.5703125" style="311" customWidth="1"/>
    <col min="2568" max="2568" width="8.28515625" style="311" customWidth="1"/>
    <col min="2569" max="2569" width="22" style="311" customWidth="1"/>
    <col min="2570" max="2570" width="21.5703125" style="311" customWidth="1"/>
    <col min="2571" max="2571" width="19.140625" style="311" customWidth="1"/>
    <col min="2572" max="2572" width="9.140625" style="311"/>
    <col min="2573" max="2573" width="8.85546875" style="311" customWidth="1"/>
    <col min="2574" max="2574" width="9.140625" style="311"/>
    <col min="2575" max="2576" width="9.28515625" style="311" customWidth="1"/>
    <col min="2577" max="2817" width="9.140625" style="311"/>
    <col min="2818" max="2818" width="8" style="311" customWidth="1"/>
    <col min="2819" max="2819" width="62.7109375" style="311" customWidth="1"/>
    <col min="2820" max="2820" width="5.7109375" style="311" customWidth="1"/>
    <col min="2821" max="2821" width="4.28515625" style="311" customWidth="1"/>
    <col min="2822" max="2822" width="8" style="311" customWidth="1"/>
    <col min="2823" max="2823" width="14.5703125" style="311" customWidth="1"/>
    <col min="2824" max="2824" width="8.28515625" style="311" customWidth="1"/>
    <col min="2825" max="2825" width="22" style="311" customWidth="1"/>
    <col min="2826" max="2826" width="21.5703125" style="311" customWidth="1"/>
    <col min="2827" max="2827" width="19.140625" style="311" customWidth="1"/>
    <col min="2828" max="2828" width="9.140625" style="311"/>
    <col min="2829" max="2829" width="8.85546875" style="311" customWidth="1"/>
    <col min="2830" max="2830" width="9.140625" style="311"/>
    <col min="2831" max="2832" width="9.28515625" style="311" customWidth="1"/>
    <col min="2833" max="3073" width="9.140625" style="311"/>
    <col min="3074" max="3074" width="8" style="311" customWidth="1"/>
    <col min="3075" max="3075" width="62.7109375" style="311" customWidth="1"/>
    <col min="3076" max="3076" width="5.7109375" style="311" customWidth="1"/>
    <col min="3077" max="3077" width="4.28515625" style="311" customWidth="1"/>
    <col min="3078" max="3078" width="8" style="311" customWidth="1"/>
    <col min="3079" max="3079" width="14.5703125" style="311" customWidth="1"/>
    <col min="3080" max="3080" width="8.28515625" style="311" customWidth="1"/>
    <col min="3081" max="3081" width="22" style="311" customWidth="1"/>
    <col min="3082" max="3082" width="21.5703125" style="311" customWidth="1"/>
    <col min="3083" max="3083" width="19.140625" style="311" customWidth="1"/>
    <col min="3084" max="3084" width="9.140625" style="311"/>
    <col min="3085" max="3085" width="8.85546875" style="311" customWidth="1"/>
    <col min="3086" max="3086" width="9.140625" style="311"/>
    <col min="3087" max="3088" width="9.28515625" style="311" customWidth="1"/>
    <col min="3089" max="3329" width="9.140625" style="311"/>
    <col min="3330" max="3330" width="8" style="311" customWidth="1"/>
    <col min="3331" max="3331" width="62.7109375" style="311" customWidth="1"/>
    <col min="3332" max="3332" width="5.7109375" style="311" customWidth="1"/>
    <col min="3333" max="3333" width="4.28515625" style="311" customWidth="1"/>
    <col min="3334" max="3334" width="8" style="311" customWidth="1"/>
    <col min="3335" max="3335" width="14.5703125" style="311" customWidth="1"/>
    <col min="3336" max="3336" width="8.28515625" style="311" customWidth="1"/>
    <col min="3337" max="3337" width="22" style="311" customWidth="1"/>
    <col min="3338" max="3338" width="21.5703125" style="311" customWidth="1"/>
    <col min="3339" max="3339" width="19.140625" style="311" customWidth="1"/>
    <col min="3340" max="3340" width="9.140625" style="311"/>
    <col min="3341" max="3341" width="8.85546875" style="311" customWidth="1"/>
    <col min="3342" max="3342" width="9.140625" style="311"/>
    <col min="3343" max="3344" width="9.28515625" style="311" customWidth="1"/>
    <col min="3345" max="3585" width="9.140625" style="311"/>
    <col min="3586" max="3586" width="8" style="311" customWidth="1"/>
    <col min="3587" max="3587" width="62.7109375" style="311" customWidth="1"/>
    <col min="3588" max="3588" width="5.7109375" style="311" customWidth="1"/>
    <col min="3589" max="3589" width="4.28515625" style="311" customWidth="1"/>
    <col min="3590" max="3590" width="8" style="311" customWidth="1"/>
    <col min="3591" max="3591" width="14.5703125" style="311" customWidth="1"/>
    <col min="3592" max="3592" width="8.28515625" style="311" customWidth="1"/>
    <col min="3593" max="3593" width="22" style="311" customWidth="1"/>
    <col min="3594" max="3594" width="21.5703125" style="311" customWidth="1"/>
    <col min="3595" max="3595" width="19.140625" style="311" customWidth="1"/>
    <col min="3596" max="3596" width="9.140625" style="311"/>
    <col min="3597" max="3597" width="8.85546875" style="311" customWidth="1"/>
    <col min="3598" max="3598" width="9.140625" style="311"/>
    <col min="3599" max="3600" width="9.28515625" style="311" customWidth="1"/>
    <col min="3601" max="3841" width="9.140625" style="311"/>
    <col min="3842" max="3842" width="8" style="311" customWidth="1"/>
    <col min="3843" max="3843" width="62.7109375" style="311" customWidth="1"/>
    <col min="3844" max="3844" width="5.7109375" style="311" customWidth="1"/>
    <col min="3845" max="3845" width="4.28515625" style="311" customWidth="1"/>
    <col min="3846" max="3846" width="8" style="311" customWidth="1"/>
    <col min="3847" max="3847" width="14.5703125" style="311" customWidth="1"/>
    <col min="3848" max="3848" width="8.28515625" style="311" customWidth="1"/>
    <col min="3849" max="3849" width="22" style="311" customWidth="1"/>
    <col min="3850" max="3850" width="21.5703125" style="311" customWidth="1"/>
    <col min="3851" max="3851" width="19.140625" style="311" customWidth="1"/>
    <col min="3852" max="3852" width="9.140625" style="311"/>
    <col min="3853" max="3853" width="8.85546875" style="311" customWidth="1"/>
    <col min="3854" max="3854" width="9.140625" style="311"/>
    <col min="3855" max="3856" width="9.28515625" style="311" customWidth="1"/>
    <col min="3857" max="4097" width="9.140625" style="311"/>
    <col min="4098" max="4098" width="8" style="311" customWidth="1"/>
    <col min="4099" max="4099" width="62.7109375" style="311" customWidth="1"/>
    <col min="4100" max="4100" width="5.7109375" style="311" customWidth="1"/>
    <col min="4101" max="4101" width="4.28515625" style="311" customWidth="1"/>
    <col min="4102" max="4102" width="8" style="311" customWidth="1"/>
    <col min="4103" max="4103" width="14.5703125" style="311" customWidth="1"/>
    <col min="4104" max="4104" width="8.28515625" style="311" customWidth="1"/>
    <col min="4105" max="4105" width="22" style="311" customWidth="1"/>
    <col min="4106" max="4106" width="21.5703125" style="311" customWidth="1"/>
    <col min="4107" max="4107" width="19.140625" style="311" customWidth="1"/>
    <col min="4108" max="4108" width="9.140625" style="311"/>
    <col min="4109" max="4109" width="8.85546875" style="311" customWidth="1"/>
    <col min="4110" max="4110" width="9.140625" style="311"/>
    <col min="4111" max="4112" width="9.28515625" style="311" customWidth="1"/>
    <col min="4113" max="4353" width="9.140625" style="311"/>
    <col min="4354" max="4354" width="8" style="311" customWidth="1"/>
    <col min="4355" max="4355" width="62.7109375" style="311" customWidth="1"/>
    <col min="4356" max="4356" width="5.7109375" style="311" customWidth="1"/>
    <col min="4357" max="4357" width="4.28515625" style="311" customWidth="1"/>
    <col min="4358" max="4358" width="8" style="311" customWidth="1"/>
    <col min="4359" max="4359" width="14.5703125" style="311" customWidth="1"/>
    <col min="4360" max="4360" width="8.28515625" style="311" customWidth="1"/>
    <col min="4361" max="4361" width="22" style="311" customWidth="1"/>
    <col min="4362" max="4362" width="21.5703125" style="311" customWidth="1"/>
    <col min="4363" max="4363" width="19.140625" style="311" customWidth="1"/>
    <col min="4364" max="4364" width="9.140625" style="311"/>
    <col min="4365" max="4365" width="8.85546875" style="311" customWidth="1"/>
    <col min="4366" max="4366" width="9.140625" style="311"/>
    <col min="4367" max="4368" width="9.28515625" style="311" customWidth="1"/>
    <col min="4369" max="4609" width="9.140625" style="311"/>
    <col min="4610" max="4610" width="8" style="311" customWidth="1"/>
    <col min="4611" max="4611" width="62.7109375" style="311" customWidth="1"/>
    <col min="4612" max="4612" width="5.7109375" style="311" customWidth="1"/>
    <col min="4613" max="4613" width="4.28515625" style="311" customWidth="1"/>
    <col min="4614" max="4614" width="8" style="311" customWidth="1"/>
    <col min="4615" max="4615" width="14.5703125" style="311" customWidth="1"/>
    <col min="4616" max="4616" width="8.28515625" style="311" customWidth="1"/>
    <col min="4617" max="4617" width="22" style="311" customWidth="1"/>
    <col min="4618" max="4618" width="21.5703125" style="311" customWidth="1"/>
    <col min="4619" max="4619" width="19.140625" style="311" customWidth="1"/>
    <col min="4620" max="4620" width="9.140625" style="311"/>
    <col min="4621" max="4621" width="8.85546875" style="311" customWidth="1"/>
    <col min="4622" max="4622" width="9.140625" style="311"/>
    <col min="4623" max="4624" width="9.28515625" style="311" customWidth="1"/>
    <col min="4625" max="4865" width="9.140625" style="311"/>
    <col min="4866" max="4866" width="8" style="311" customWidth="1"/>
    <col min="4867" max="4867" width="62.7109375" style="311" customWidth="1"/>
    <col min="4868" max="4868" width="5.7109375" style="311" customWidth="1"/>
    <col min="4869" max="4869" width="4.28515625" style="311" customWidth="1"/>
    <col min="4870" max="4870" width="8" style="311" customWidth="1"/>
    <col min="4871" max="4871" width="14.5703125" style="311" customWidth="1"/>
    <col min="4872" max="4872" width="8.28515625" style="311" customWidth="1"/>
    <col min="4873" max="4873" width="22" style="311" customWidth="1"/>
    <col min="4874" max="4874" width="21.5703125" style="311" customWidth="1"/>
    <col min="4875" max="4875" width="19.140625" style="311" customWidth="1"/>
    <col min="4876" max="4876" width="9.140625" style="311"/>
    <col min="4877" max="4877" width="8.85546875" style="311" customWidth="1"/>
    <col min="4878" max="4878" width="9.140625" style="311"/>
    <col min="4879" max="4880" width="9.28515625" style="311" customWidth="1"/>
    <col min="4881" max="5121" width="9.140625" style="311"/>
    <col min="5122" max="5122" width="8" style="311" customWidth="1"/>
    <col min="5123" max="5123" width="62.7109375" style="311" customWidth="1"/>
    <col min="5124" max="5124" width="5.7109375" style="311" customWidth="1"/>
    <col min="5125" max="5125" width="4.28515625" style="311" customWidth="1"/>
    <col min="5126" max="5126" width="8" style="311" customWidth="1"/>
    <col min="5127" max="5127" width="14.5703125" style="311" customWidth="1"/>
    <col min="5128" max="5128" width="8.28515625" style="311" customWidth="1"/>
    <col min="5129" max="5129" width="22" style="311" customWidth="1"/>
    <col min="5130" max="5130" width="21.5703125" style="311" customWidth="1"/>
    <col min="5131" max="5131" width="19.140625" style="311" customWidth="1"/>
    <col min="5132" max="5132" width="9.140625" style="311"/>
    <col min="5133" max="5133" width="8.85546875" style="311" customWidth="1"/>
    <col min="5134" max="5134" width="9.140625" style="311"/>
    <col min="5135" max="5136" width="9.28515625" style="311" customWidth="1"/>
    <col min="5137" max="5377" width="9.140625" style="311"/>
    <col min="5378" max="5378" width="8" style="311" customWidth="1"/>
    <col min="5379" max="5379" width="62.7109375" style="311" customWidth="1"/>
    <col min="5380" max="5380" width="5.7109375" style="311" customWidth="1"/>
    <col min="5381" max="5381" width="4.28515625" style="311" customWidth="1"/>
    <col min="5382" max="5382" width="8" style="311" customWidth="1"/>
    <col min="5383" max="5383" width="14.5703125" style="311" customWidth="1"/>
    <col min="5384" max="5384" width="8.28515625" style="311" customWidth="1"/>
    <col min="5385" max="5385" width="22" style="311" customWidth="1"/>
    <col min="5386" max="5386" width="21.5703125" style="311" customWidth="1"/>
    <col min="5387" max="5387" width="19.140625" style="311" customWidth="1"/>
    <col min="5388" max="5388" width="9.140625" style="311"/>
    <col min="5389" max="5389" width="8.85546875" style="311" customWidth="1"/>
    <col min="5390" max="5390" width="9.140625" style="311"/>
    <col min="5391" max="5392" width="9.28515625" style="311" customWidth="1"/>
    <col min="5393" max="5633" width="9.140625" style="311"/>
    <col min="5634" max="5634" width="8" style="311" customWidth="1"/>
    <col min="5635" max="5635" width="62.7109375" style="311" customWidth="1"/>
    <col min="5636" max="5636" width="5.7109375" style="311" customWidth="1"/>
    <col min="5637" max="5637" width="4.28515625" style="311" customWidth="1"/>
    <col min="5638" max="5638" width="8" style="311" customWidth="1"/>
    <col min="5639" max="5639" width="14.5703125" style="311" customWidth="1"/>
    <col min="5640" max="5640" width="8.28515625" style="311" customWidth="1"/>
    <col min="5641" max="5641" width="22" style="311" customWidth="1"/>
    <col min="5642" max="5642" width="21.5703125" style="311" customWidth="1"/>
    <col min="5643" max="5643" width="19.140625" style="311" customWidth="1"/>
    <col min="5644" max="5644" width="9.140625" style="311"/>
    <col min="5645" max="5645" width="8.85546875" style="311" customWidth="1"/>
    <col min="5646" max="5646" width="9.140625" style="311"/>
    <col min="5647" max="5648" width="9.28515625" style="311" customWidth="1"/>
    <col min="5649" max="5889" width="9.140625" style="311"/>
    <col min="5890" max="5890" width="8" style="311" customWidth="1"/>
    <col min="5891" max="5891" width="62.7109375" style="311" customWidth="1"/>
    <col min="5892" max="5892" width="5.7109375" style="311" customWidth="1"/>
    <col min="5893" max="5893" width="4.28515625" style="311" customWidth="1"/>
    <col min="5894" max="5894" width="8" style="311" customWidth="1"/>
    <col min="5895" max="5895" width="14.5703125" style="311" customWidth="1"/>
    <col min="5896" max="5896" width="8.28515625" style="311" customWidth="1"/>
    <col min="5897" max="5897" width="22" style="311" customWidth="1"/>
    <col min="5898" max="5898" width="21.5703125" style="311" customWidth="1"/>
    <col min="5899" max="5899" width="19.140625" style="311" customWidth="1"/>
    <col min="5900" max="5900" width="9.140625" style="311"/>
    <col min="5901" max="5901" width="8.85546875" style="311" customWidth="1"/>
    <col min="5902" max="5902" width="9.140625" style="311"/>
    <col min="5903" max="5904" width="9.28515625" style="311" customWidth="1"/>
    <col min="5905" max="6145" width="9.140625" style="311"/>
    <col min="6146" max="6146" width="8" style="311" customWidth="1"/>
    <col min="6147" max="6147" width="62.7109375" style="311" customWidth="1"/>
    <col min="6148" max="6148" width="5.7109375" style="311" customWidth="1"/>
    <col min="6149" max="6149" width="4.28515625" style="311" customWidth="1"/>
    <col min="6150" max="6150" width="8" style="311" customWidth="1"/>
    <col min="6151" max="6151" width="14.5703125" style="311" customWidth="1"/>
    <col min="6152" max="6152" width="8.28515625" style="311" customWidth="1"/>
    <col min="6153" max="6153" width="22" style="311" customWidth="1"/>
    <col min="6154" max="6154" width="21.5703125" style="311" customWidth="1"/>
    <col min="6155" max="6155" width="19.140625" style="311" customWidth="1"/>
    <col min="6156" max="6156" width="9.140625" style="311"/>
    <col min="6157" max="6157" width="8.85546875" style="311" customWidth="1"/>
    <col min="6158" max="6158" width="9.140625" style="311"/>
    <col min="6159" max="6160" width="9.28515625" style="311" customWidth="1"/>
    <col min="6161" max="6401" width="9.140625" style="311"/>
    <col min="6402" max="6402" width="8" style="311" customWidth="1"/>
    <col min="6403" max="6403" width="62.7109375" style="311" customWidth="1"/>
    <col min="6404" max="6404" width="5.7109375" style="311" customWidth="1"/>
    <col min="6405" max="6405" width="4.28515625" style="311" customWidth="1"/>
    <col min="6406" max="6406" width="8" style="311" customWidth="1"/>
    <col min="6407" max="6407" width="14.5703125" style="311" customWidth="1"/>
    <col min="6408" max="6408" width="8.28515625" style="311" customWidth="1"/>
    <col min="6409" max="6409" width="22" style="311" customWidth="1"/>
    <col min="6410" max="6410" width="21.5703125" style="311" customWidth="1"/>
    <col min="6411" max="6411" width="19.140625" style="311" customWidth="1"/>
    <col min="6412" max="6412" width="9.140625" style="311"/>
    <col min="6413" max="6413" width="8.85546875" style="311" customWidth="1"/>
    <col min="6414" max="6414" width="9.140625" style="311"/>
    <col min="6415" max="6416" width="9.28515625" style="311" customWidth="1"/>
    <col min="6417" max="6657" width="9.140625" style="311"/>
    <col min="6658" max="6658" width="8" style="311" customWidth="1"/>
    <col min="6659" max="6659" width="62.7109375" style="311" customWidth="1"/>
    <col min="6660" max="6660" width="5.7109375" style="311" customWidth="1"/>
    <col min="6661" max="6661" width="4.28515625" style="311" customWidth="1"/>
    <col min="6662" max="6662" width="8" style="311" customWidth="1"/>
    <col min="6663" max="6663" width="14.5703125" style="311" customWidth="1"/>
    <col min="6664" max="6664" width="8.28515625" style="311" customWidth="1"/>
    <col min="6665" max="6665" width="22" style="311" customWidth="1"/>
    <col min="6666" max="6666" width="21.5703125" style="311" customWidth="1"/>
    <col min="6667" max="6667" width="19.140625" style="311" customWidth="1"/>
    <col min="6668" max="6668" width="9.140625" style="311"/>
    <col min="6669" max="6669" width="8.85546875" style="311" customWidth="1"/>
    <col min="6670" max="6670" width="9.140625" style="311"/>
    <col min="6671" max="6672" width="9.28515625" style="311" customWidth="1"/>
    <col min="6673" max="6913" width="9.140625" style="311"/>
    <col min="6914" max="6914" width="8" style="311" customWidth="1"/>
    <col min="6915" max="6915" width="62.7109375" style="311" customWidth="1"/>
    <col min="6916" max="6916" width="5.7109375" style="311" customWidth="1"/>
    <col min="6917" max="6917" width="4.28515625" style="311" customWidth="1"/>
    <col min="6918" max="6918" width="8" style="311" customWidth="1"/>
    <col min="6919" max="6919" width="14.5703125" style="311" customWidth="1"/>
    <col min="6920" max="6920" width="8.28515625" style="311" customWidth="1"/>
    <col min="6921" max="6921" width="22" style="311" customWidth="1"/>
    <col min="6922" max="6922" width="21.5703125" style="311" customWidth="1"/>
    <col min="6923" max="6923" width="19.140625" style="311" customWidth="1"/>
    <col min="6924" max="6924" width="9.140625" style="311"/>
    <col min="6925" max="6925" width="8.85546875" style="311" customWidth="1"/>
    <col min="6926" max="6926" width="9.140625" style="311"/>
    <col min="6927" max="6928" width="9.28515625" style="311" customWidth="1"/>
    <col min="6929" max="7169" width="9.140625" style="311"/>
    <col min="7170" max="7170" width="8" style="311" customWidth="1"/>
    <col min="7171" max="7171" width="62.7109375" style="311" customWidth="1"/>
    <col min="7172" max="7172" width="5.7109375" style="311" customWidth="1"/>
    <col min="7173" max="7173" width="4.28515625" style="311" customWidth="1"/>
    <col min="7174" max="7174" width="8" style="311" customWidth="1"/>
    <col min="7175" max="7175" width="14.5703125" style="311" customWidth="1"/>
    <col min="7176" max="7176" width="8.28515625" style="311" customWidth="1"/>
    <col min="7177" max="7177" width="22" style="311" customWidth="1"/>
    <col min="7178" max="7178" width="21.5703125" style="311" customWidth="1"/>
    <col min="7179" max="7179" width="19.140625" style="311" customWidth="1"/>
    <col min="7180" max="7180" width="9.140625" style="311"/>
    <col min="7181" max="7181" width="8.85546875" style="311" customWidth="1"/>
    <col min="7182" max="7182" width="9.140625" style="311"/>
    <col min="7183" max="7184" width="9.28515625" style="311" customWidth="1"/>
    <col min="7185" max="7425" width="9.140625" style="311"/>
    <col min="7426" max="7426" width="8" style="311" customWidth="1"/>
    <col min="7427" max="7427" width="62.7109375" style="311" customWidth="1"/>
    <col min="7428" max="7428" width="5.7109375" style="311" customWidth="1"/>
    <col min="7429" max="7429" width="4.28515625" style="311" customWidth="1"/>
    <col min="7430" max="7430" width="8" style="311" customWidth="1"/>
    <col min="7431" max="7431" width="14.5703125" style="311" customWidth="1"/>
    <col min="7432" max="7432" width="8.28515625" style="311" customWidth="1"/>
    <col min="7433" max="7433" width="22" style="311" customWidth="1"/>
    <col min="7434" max="7434" width="21.5703125" style="311" customWidth="1"/>
    <col min="7435" max="7435" width="19.140625" style="311" customWidth="1"/>
    <col min="7436" max="7436" width="9.140625" style="311"/>
    <col min="7437" max="7437" width="8.85546875" style="311" customWidth="1"/>
    <col min="7438" max="7438" width="9.140625" style="311"/>
    <col min="7439" max="7440" width="9.28515625" style="311" customWidth="1"/>
    <col min="7441" max="7681" width="9.140625" style="311"/>
    <col min="7682" max="7682" width="8" style="311" customWidth="1"/>
    <col min="7683" max="7683" width="62.7109375" style="311" customWidth="1"/>
    <col min="7684" max="7684" width="5.7109375" style="311" customWidth="1"/>
    <col min="7685" max="7685" width="4.28515625" style="311" customWidth="1"/>
    <col min="7686" max="7686" width="8" style="311" customWidth="1"/>
    <col min="7687" max="7687" width="14.5703125" style="311" customWidth="1"/>
    <col min="7688" max="7688" width="8.28515625" style="311" customWidth="1"/>
    <col min="7689" max="7689" width="22" style="311" customWidth="1"/>
    <col min="7690" max="7690" width="21.5703125" style="311" customWidth="1"/>
    <col min="7691" max="7691" width="19.140625" style="311" customWidth="1"/>
    <col min="7692" max="7692" width="9.140625" style="311"/>
    <col min="7693" max="7693" width="8.85546875" style="311" customWidth="1"/>
    <col min="7694" max="7694" width="9.140625" style="311"/>
    <col min="7695" max="7696" width="9.28515625" style="311" customWidth="1"/>
    <col min="7697" max="7937" width="9.140625" style="311"/>
    <col min="7938" max="7938" width="8" style="311" customWidth="1"/>
    <col min="7939" max="7939" width="62.7109375" style="311" customWidth="1"/>
    <col min="7940" max="7940" width="5.7109375" style="311" customWidth="1"/>
    <col min="7941" max="7941" width="4.28515625" style="311" customWidth="1"/>
    <col min="7942" max="7942" width="8" style="311" customWidth="1"/>
    <col min="7943" max="7943" width="14.5703125" style="311" customWidth="1"/>
    <col min="7944" max="7944" width="8.28515625" style="311" customWidth="1"/>
    <col min="7945" max="7945" width="22" style="311" customWidth="1"/>
    <col min="7946" max="7946" width="21.5703125" style="311" customWidth="1"/>
    <col min="7947" max="7947" width="19.140625" style="311" customWidth="1"/>
    <col min="7948" max="7948" width="9.140625" style="311"/>
    <col min="7949" max="7949" width="8.85546875" style="311" customWidth="1"/>
    <col min="7950" max="7950" width="9.140625" style="311"/>
    <col min="7951" max="7952" width="9.28515625" style="311" customWidth="1"/>
    <col min="7953" max="8193" width="9.140625" style="311"/>
    <col min="8194" max="8194" width="8" style="311" customWidth="1"/>
    <col min="8195" max="8195" width="62.7109375" style="311" customWidth="1"/>
    <col min="8196" max="8196" width="5.7109375" style="311" customWidth="1"/>
    <col min="8197" max="8197" width="4.28515625" style="311" customWidth="1"/>
    <col min="8198" max="8198" width="8" style="311" customWidth="1"/>
    <col min="8199" max="8199" width="14.5703125" style="311" customWidth="1"/>
    <col min="8200" max="8200" width="8.28515625" style="311" customWidth="1"/>
    <col min="8201" max="8201" width="22" style="311" customWidth="1"/>
    <col min="8202" max="8202" width="21.5703125" style="311" customWidth="1"/>
    <col min="8203" max="8203" width="19.140625" style="311" customWidth="1"/>
    <col min="8204" max="8204" width="9.140625" style="311"/>
    <col min="8205" max="8205" width="8.85546875" style="311" customWidth="1"/>
    <col min="8206" max="8206" width="9.140625" style="311"/>
    <col min="8207" max="8208" width="9.28515625" style="311" customWidth="1"/>
    <col min="8209" max="8449" width="9.140625" style="311"/>
    <col min="8450" max="8450" width="8" style="311" customWidth="1"/>
    <col min="8451" max="8451" width="62.7109375" style="311" customWidth="1"/>
    <col min="8452" max="8452" width="5.7109375" style="311" customWidth="1"/>
    <col min="8453" max="8453" width="4.28515625" style="311" customWidth="1"/>
    <col min="8454" max="8454" width="8" style="311" customWidth="1"/>
    <col min="8455" max="8455" width="14.5703125" style="311" customWidth="1"/>
    <col min="8456" max="8456" width="8.28515625" style="311" customWidth="1"/>
    <col min="8457" max="8457" width="22" style="311" customWidth="1"/>
    <col min="8458" max="8458" width="21.5703125" style="311" customWidth="1"/>
    <col min="8459" max="8459" width="19.140625" style="311" customWidth="1"/>
    <col min="8460" max="8460" width="9.140625" style="311"/>
    <col min="8461" max="8461" width="8.85546875" style="311" customWidth="1"/>
    <col min="8462" max="8462" width="9.140625" style="311"/>
    <col min="8463" max="8464" width="9.28515625" style="311" customWidth="1"/>
    <col min="8465" max="8705" width="9.140625" style="311"/>
    <col min="8706" max="8706" width="8" style="311" customWidth="1"/>
    <col min="8707" max="8707" width="62.7109375" style="311" customWidth="1"/>
    <col min="8708" max="8708" width="5.7109375" style="311" customWidth="1"/>
    <col min="8709" max="8709" width="4.28515625" style="311" customWidth="1"/>
    <col min="8710" max="8710" width="8" style="311" customWidth="1"/>
    <col min="8711" max="8711" width="14.5703125" style="311" customWidth="1"/>
    <col min="8712" max="8712" width="8.28515625" style="311" customWidth="1"/>
    <col min="8713" max="8713" width="22" style="311" customWidth="1"/>
    <col min="8714" max="8714" width="21.5703125" style="311" customWidth="1"/>
    <col min="8715" max="8715" width="19.140625" style="311" customWidth="1"/>
    <col min="8716" max="8716" width="9.140625" style="311"/>
    <col min="8717" max="8717" width="8.85546875" style="311" customWidth="1"/>
    <col min="8718" max="8718" width="9.140625" style="311"/>
    <col min="8719" max="8720" width="9.28515625" style="311" customWidth="1"/>
    <col min="8721" max="8961" width="9.140625" style="311"/>
    <col min="8962" max="8962" width="8" style="311" customWidth="1"/>
    <col min="8963" max="8963" width="62.7109375" style="311" customWidth="1"/>
    <col min="8964" max="8964" width="5.7109375" style="311" customWidth="1"/>
    <col min="8965" max="8965" width="4.28515625" style="311" customWidth="1"/>
    <col min="8966" max="8966" width="8" style="311" customWidth="1"/>
    <col min="8967" max="8967" width="14.5703125" style="311" customWidth="1"/>
    <col min="8968" max="8968" width="8.28515625" style="311" customWidth="1"/>
    <col min="8969" max="8969" width="22" style="311" customWidth="1"/>
    <col min="8970" max="8970" width="21.5703125" style="311" customWidth="1"/>
    <col min="8971" max="8971" width="19.140625" style="311" customWidth="1"/>
    <col min="8972" max="8972" width="9.140625" style="311"/>
    <col min="8973" max="8973" width="8.85546875" style="311" customWidth="1"/>
    <col min="8974" max="8974" width="9.140625" style="311"/>
    <col min="8975" max="8976" width="9.28515625" style="311" customWidth="1"/>
    <col min="8977" max="9217" width="9.140625" style="311"/>
    <col min="9218" max="9218" width="8" style="311" customWidth="1"/>
    <col min="9219" max="9219" width="62.7109375" style="311" customWidth="1"/>
    <col min="9220" max="9220" width="5.7109375" style="311" customWidth="1"/>
    <col min="9221" max="9221" width="4.28515625" style="311" customWidth="1"/>
    <col min="9222" max="9222" width="8" style="311" customWidth="1"/>
    <col min="9223" max="9223" width="14.5703125" style="311" customWidth="1"/>
    <col min="9224" max="9224" width="8.28515625" style="311" customWidth="1"/>
    <col min="9225" max="9225" width="22" style="311" customWidth="1"/>
    <col min="9226" max="9226" width="21.5703125" style="311" customWidth="1"/>
    <col min="9227" max="9227" width="19.140625" style="311" customWidth="1"/>
    <col min="9228" max="9228" width="9.140625" style="311"/>
    <col min="9229" max="9229" width="8.85546875" style="311" customWidth="1"/>
    <col min="9230" max="9230" width="9.140625" style="311"/>
    <col min="9231" max="9232" width="9.28515625" style="311" customWidth="1"/>
    <col min="9233" max="9473" width="9.140625" style="311"/>
    <col min="9474" max="9474" width="8" style="311" customWidth="1"/>
    <col min="9475" max="9475" width="62.7109375" style="311" customWidth="1"/>
    <col min="9476" max="9476" width="5.7109375" style="311" customWidth="1"/>
    <col min="9477" max="9477" width="4.28515625" style="311" customWidth="1"/>
    <col min="9478" max="9478" width="8" style="311" customWidth="1"/>
    <col min="9479" max="9479" width="14.5703125" style="311" customWidth="1"/>
    <col min="9480" max="9480" width="8.28515625" style="311" customWidth="1"/>
    <col min="9481" max="9481" width="22" style="311" customWidth="1"/>
    <col min="9482" max="9482" width="21.5703125" style="311" customWidth="1"/>
    <col min="9483" max="9483" width="19.140625" style="311" customWidth="1"/>
    <col min="9484" max="9484" width="9.140625" style="311"/>
    <col min="9485" max="9485" width="8.85546875" style="311" customWidth="1"/>
    <col min="9486" max="9486" width="9.140625" style="311"/>
    <col min="9487" max="9488" width="9.28515625" style="311" customWidth="1"/>
    <col min="9489" max="9729" width="9.140625" style="311"/>
    <col min="9730" max="9730" width="8" style="311" customWidth="1"/>
    <col min="9731" max="9731" width="62.7109375" style="311" customWidth="1"/>
    <col min="9732" max="9732" width="5.7109375" style="311" customWidth="1"/>
    <col min="9733" max="9733" width="4.28515625" style="311" customWidth="1"/>
    <col min="9734" max="9734" width="8" style="311" customWidth="1"/>
    <col min="9735" max="9735" width="14.5703125" style="311" customWidth="1"/>
    <col min="9736" max="9736" width="8.28515625" style="311" customWidth="1"/>
    <col min="9737" max="9737" width="22" style="311" customWidth="1"/>
    <col min="9738" max="9738" width="21.5703125" style="311" customWidth="1"/>
    <col min="9739" max="9739" width="19.140625" style="311" customWidth="1"/>
    <col min="9740" max="9740" width="9.140625" style="311"/>
    <col min="9741" max="9741" width="8.85546875" style="311" customWidth="1"/>
    <col min="9742" max="9742" width="9.140625" style="311"/>
    <col min="9743" max="9744" width="9.28515625" style="311" customWidth="1"/>
    <col min="9745" max="9985" width="9.140625" style="311"/>
    <col min="9986" max="9986" width="8" style="311" customWidth="1"/>
    <col min="9987" max="9987" width="62.7109375" style="311" customWidth="1"/>
    <col min="9988" max="9988" width="5.7109375" style="311" customWidth="1"/>
    <col min="9989" max="9989" width="4.28515625" style="311" customWidth="1"/>
    <col min="9990" max="9990" width="8" style="311" customWidth="1"/>
    <col min="9991" max="9991" width="14.5703125" style="311" customWidth="1"/>
    <col min="9992" max="9992" width="8.28515625" style="311" customWidth="1"/>
    <col min="9993" max="9993" width="22" style="311" customWidth="1"/>
    <col min="9994" max="9994" width="21.5703125" style="311" customWidth="1"/>
    <col min="9995" max="9995" width="19.140625" style="311" customWidth="1"/>
    <col min="9996" max="9996" width="9.140625" style="311"/>
    <col min="9997" max="9997" width="8.85546875" style="311" customWidth="1"/>
    <col min="9998" max="9998" width="9.140625" style="311"/>
    <col min="9999" max="10000" width="9.28515625" style="311" customWidth="1"/>
    <col min="10001" max="10241" width="9.140625" style="311"/>
    <col min="10242" max="10242" width="8" style="311" customWidth="1"/>
    <col min="10243" max="10243" width="62.7109375" style="311" customWidth="1"/>
    <col min="10244" max="10244" width="5.7109375" style="311" customWidth="1"/>
    <col min="10245" max="10245" width="4.28515625" style="311" customWidth="1"/>
    <col min="10246" max="10246" width="8" style="311" customWidth="1"/>
    <col min="10247" max="10247" width="14.5703125" style="311" customWidth="1"/>
    <col min="10248" max="10248" width="8.28515625" style="311" customWidth="1"/>
    <col min="10249" max="10249" width="22" style="311" customWidth="1"/>
    <col min="10250" max="10250" width="21.5703125" style="311" customWidth="1"/>
    <col min="10251" max="10251" width="19.140625" style="311" customWidth="1"/>
    <col min="10252" max="10252" width="9.140625" style="311"/>
    <col min="10253" max="10253" width="8.85546875" style="311" customWidth="1"/>
    <col min="10254" max="10254" width="9.140625" style="311"/>
    <col min="10255" max="10256" width="9.28515625" style="311" customWidth="1"/>
    <col min="10257" max="10497" width="9.140625" style="311"/>
    <col min="10498" max="10498" width="8" style="311" customWidth="1"/>
    <col min="10499" max="10499" width="62.7109375" style="311" customWidth="1"/>
    <col min="10500" max="10500" width="5.7109375" style="311" customWidth="1"/>
    <col min="10501" max="10501" width="4.28515625" style="311" customWidth="1"/>
    <col min="10502" max="10502" width="8" style="311" customWidth="1"/>
    <col min="10503" max="10503" width="14.5703125" style="311" customWidth="1"/>
    <col min="10504" max="10504" width="8.28515625" style="311" customWidth="1"/>
    <col min="10505" max="10505" width="22" style="311" customWidth="1"/>
    <col min="10506" max="10506" width="21.5703125" style="311" customWidth="1"/>
    <col min="10507" max="10507" width="19.140625" style="311" customWidth="1"/>
    <col min="10508" max="10508" width="9.140625" style="311"/>
    <col min="10509" max="10509" width="8.85546875" style="311" customWidth="1"/>
    <col min="10510" max="10510" width="9.140625" style="311"/>
    <col min="10511" max="10512" width="9.28515625" style="311" customWidth="1"/>
    <col min="10513" max="10753" width="9.140625" style="311"/>
    <col min="10754" max="10754" width="8" style="311" customWidth="1"/>
    <col min="10755" max="10755" width="62.7109375" style="311" customWidth="1"/>
    <col min="10756" max="10756" width="5.7109375" style="311" customWidth="1"/>
    <col min="10757" max="10757" width="4.28515625" style="311" customWidth="1"/>
    <col min="10758" max="10758" width="8" style="311" customWidth="1"/>
    <col min="10759" max="10759" width="14.5703125" style="311" customWidth="1"/>
    <col min="10760" max="10760" width="8.28515625" style="311" customWidth="1"/>
    <col min="10761" max="10761" width="22" style="311" customWidth="1"/>
    <col min="10762" max="10762" width="21.5703125" style="311" customWidth="1"/>
    <col min="10763" max="10763" width="19.140625" style="311" customWidth="1"/>
    <col min="10764" max="10764" width="9.140625" style="311"/>
    <col min="10765" max="10765" width="8.85546875" style="311" customWidth="1"/>
    <col min="10766" max="10766" width="9.140625" style="311"/>
    <col min="10767" max="10768" width="9.28515625" style="311" customWidth="1"/>
    <col min="10769" max="11009" width="9.140625" style="311"/>
    <col min="11010" max="11010" width="8" style="311" customWidth="1"/>
    <col min="11011" max="11011" width="62.7109375" style="311" customWidth="1"/>
    <col min="11012" max="11012" width="5.7109375" style="311" customWidth="1"/>
    <col min="11013" max="11013" width="4.28515625" style="311" customWidth="1"/>
    <col min="11014" max="11014" width="8" style="311" customWidth="1"/>
    <col min="11015" max="11015" width="14.5703125" style="311" customWidth="1"/>
    <col min="11016" max="11016" width="8.28515625" style="311" customWidth="1"/>
    <col min="11017" max="11017" width="22" style="311" customWidth="1"/>
    <col min="11018" max="11018" width="21.5703125" style="311" customWidth="1"/>
    <col min="11019" max="11019" width="19.140625" style="311" customWidth="1"/>
    <col min="11020" max="11020" width="9.140625" style="311"/>
    <col min="11021" max="11021" width="8.85546875" style="311" customWidth="1"/>
    <col min="11022" max="11022" width="9.140625" style="311"/>
    <col min="11023" max="11024" width="9.28515625" style="311" customWidth="1"/>
    <col min="11025" max="11265" width="9.140625" style="311"/>
    <col min="11266" max="11266" width="8" style="311" customWidth="1"/>
    <col min="11267" max="11267" width="62.7109375" style="311" customWidth="1"/>
    <col min="11268" max="11268" width="5.7109375" style="311" customWidth="1"/>
    <col min="11269" max="11269" width="4.28515625" style="311" customWidth="1"/>
    <col min="11270" max="11270" width="8" style="311" customWidth="1"/>
    <col min="11271" max="11271" width="14.5703125" style="311" customWidth="1"/>
    <col min="11272" max="11272" width="8.28515625" style="311" customWidth="1"/>
    <col min="11273" max="11273" width="22" style="311" customWidth="1"/>
    <col min="11274" max="11274" width="21.5703125" style="311" customWidth="1"/>
    <col min="11275" max="11275" width="19.140625" style="311" customWidth="1"/>
    <col min="11276" max="11276" width="9.140625" style="311"/>
    <col min="11277" max="11277" width="8.85546875" style="311" customWidth="1"/>
    <col min="11278" max="11278" width="9.140625" style="311"/>
    <col min="11279" max="11280" width="9.28515625" style="311" customWidth="1"/>
    <col min="11281" max="11521" width="9.140625" style="311"/>
    <col min="11522" max="11522" width="8" style="311" customWidth="1"/>
    <col min="11523" max="11523" width="62.7109375" style="311" customWidth="1"/>
    <col min="11524" max="11524" width="5.7109375" style="311" customWidth="1"/>
    <col min="11525" max="11525" width="4.28515625" style="311" customWidth="1"/>
    <col min="11526" max="11526" width="8" style="311" customWidth="1"/>
    <col min="11527" max="11527" width="14.5703125" style="311" customWidth="1"/>
    <col min="11528" max="11528" width="8.28515625" style="311" customWidth="1"/>
    <col min="11529" max="11529" width="22" style="311" customWidth="1"/>
    <col min="11530" max="11530" width="21.5703125" style="311" customWidth="1"/>
    <col min="11531" max="11531" width="19.140625" style="311" customWidth="1"/>
    <col min="11532" max="11532" width="9.140625" style="311"/>
    <col min="11533" max="11533" width="8.85546875" style="311" customWidth="1"/>
    <col min="11534" max="11534" width="9.140625" style="311"/>
    <col min="11535" max="11536" width="9.28515625" style="311" customWidth="1"/>
    <col min="11537" max="11777" width="9.140625" style="311"/>
    <col min="11778" max="11778" width="8" style="311" customWidth="1"/>
    <col min="11779" max="11779" width="62.7109375" style="311" customWidth="1"/>
    <col min="11780" max="11780" width="5.7109375" style="311" customWidth="1"/>
    <col min="11781" max="11781" width="4.28515625" style="311" customWidth="1"/>
    <col min="11782" max="11782" width="8" style="311" customWidth="1"/>
    <col min="11783" max="11783" width="14.5703125" style="311" customWidth="1"/>
    <col min="11784" max="11784" width="8.28515625" style="311" customWidth="1"/>
    <col min="11785" max="11785" width="22" style="311" customWidth="1"/>
    <col min="11786" max="11786" width="21.5703125" style="311" customWidth="1"/>
    <col min="11787" max="11787" width="19.140625" style="311" customWidth="1"/>
    <col min="11788" max="11788" width="9.140625" style="311"/>
    <col min="11789" max="11789" width="8.85546875" style="311" customWidth="1"/>
    <col min="11790" max="11790" width="9.140625" style="311"/>
    <col min="11791" max="11792" width="9.28515625" style="311" customWidth="1"/>
    <col min="11793" max="12033" width="9.140625" style="311"/>
    <col min="12034" max="12034" width="8" style="311" customWidth="1"/>
    <col min="12035" max="12035" width="62.7109375" style="311" customWidth="1"/>
    <col min="12036" max="12036" width="5.7109375" style="311" customWidth="1"/>
    <col min="12037" max="12037" width="4.28515625" style="311" customWidth="1"/>
    <col min="12038" max="12038" width="8" style="311" customWidth="1"/>
    <col min="12039" max="12039" width="14.5703125" style="311" customWidth="1"/>
    <col min="12040" max="12040" width="8.28515625" style="311" customWidth="1"/>
    <col min="12041" max="12041" width="22" style="311" customWidth="1"/>
    <col min="12042" max="12042" width="21.5703125" style="311" customWidth="1"/>
    <col min="12043" max="12043" width="19.140625" style="311" customWidth="1"/>
    <col min="12044" max="12044" width="9.140625" style="311"/>
    <col min="12045" max="12045" width="8.85546875" style="311" customWidth="1"/>
    <col min="12046" max="12046" width="9.140625" style="311"/>
    <col min="12047" max="12048" width="9.28515625" style="311" customWidth="1"/>
    <col min="12049" max="12289" width="9.140625" style="311"/>
    <col min="12290" max="12290" width="8" style="311" customWidth="1"/>
    <col min="12291" max="12291" width="62.7109375" style="311" customWidth="1"/>
    <col min="12292" max="12292" width="5.7109375" style="311" customWidth="1"/>
    <col min="12293" max="12293" width="4.28515625" style="311" customWidth="1"/>
    <col min="12294" max="12294" width="8" style="311" customWidth="1"/>
    <col min="12295" max="12295" width="14.5703125" style="311" customWidth="1"/>
    <col min="12296" max="12296" width="8.28515625" style="311" customWidth="1"/>
    <col min="12297" max="12297" width="22" style="311" customWidth="1"/>
    <col min="12298" max="12298" width="21.5703125" style="311" customWidth="1"/>
    <col min="12299" max="12299" width="19.140625" style="311" customWidth="1"/>
    <col min="12300" max="12300" width="9.140625" style="311"/>
    <col min="12301" max="12301" width="8.85546875" style="311" customWidth="1"/>
    <col min="12302" max="12302" width="9.140625" style="311"/>
    <col min="12303" max="12304" width="9.28515625" style="311" customWidth="1"/>
    <col min="12305" max="12545" width="9.140625" style="311"/>
    <col min="12546" max="12546" width="8" style="311" customWidth="1"/>
    <col min="12547" max="12547" width="62.7109375" style="311" customWidth="1"/>
    <col min="12548" max="12548" width="5.7109375" style="311" customWidth="1"/>
    <col min="12549" max="12549" width="4.28515625" style="311" customWidth="1"/>
    <col min="12550" max="12550" width="8" style="311" customWidth="1"/>
    <col min="12551" max="12551" width="14.5703125" style="311" customWidth="1"/>
    <col min="12552" max="12552" width="8.28515625" style="311" customWidth="1"/>
    <col min="12553" max="12553" width="22" style="311" customWidth="1"/>
    <col min="12554" max="12554" width="21.5703125" style="311" customWidth="1"/>
    <col min="12555" max="12555" width="19.140625" style="311" customWidth="1"/>
    <col min="12556" max="12556" width="9.140625" style="311"/>
    <col min="12557" max="12557" width="8.85546875" style="311" customWidth="1"/>
    <col min="12558" max="12558" width="9.140625" style="311"/>
    <col min="12559" max="12560" width="9.28515625" style="311" customWidth="1"/>
    <col min="12561" max="12801" width="9.140625" style="311"/>
    <col min="12802" max="12802" width="8" style="311" customWidth="1"/>
    <col min="12803" max="12803" width="62.7109375" style="311" customWidth="1"/>
    <col min="12804" max="12804" width="5.7109375" style="311" customWidth="1"/>
    <col min="12805" max="12805" width="4.28515625" style="311" customWidth="1"/>
    <col min="12806" max="12806" width="8" style="311" customWidth="1"/>
    <col min="12807" max="12807" width="14.5703125" style="311" customWidth="1"/>
    <col min="12808" max="12808" width="8.28515625" style="311" customWidth="1"/>
    <col min="12809" max="12809" width="22" style="311" customWidth="1"/>
    <col min="12810" max="12810" width="21.5703125" style="311" customWidth="1"/>
    <col min="12811" max="12811" width="19.140625" style="311" customWidth="1"/>
    <col min="12812" max="12812" width="9.140625" style="311"/>
    <col min="12813" max="12813" width="8.85546875" style="311" customWidth="1"/>
    <col min="12814" max="12814" width="9.140625" style="311"/>
    <col min="12815" max="12816" width="9.28515625" style="311" customWidth="1"/>
    <col min="12817" max="13057" width="9.140625" style="311"/>
    <col min="13058" max="13058" width="8" style="311" customWidth="1"/>
    <col min="13059" max="13059" width="62.7109375" style="311" customWidth="1"/>
    <col min="13060" max="13060" width="5.7109375" style="311" customWidth="1"/>
    <col min="13061" max="13061" width="4.28515625" style="311" customWidth="1"/>
    <col min="13062" max="13062" width="8" style="311" customWidth="1"/>
    <col min="13063" max="13063" width="14.5703125" style="311" customWidth="1"/>
    <col min="13064" max="13064" width="8.28515625" style="311" customWidth="1"/>
    <col min="13065" max="13065" width="22" style="311" customWidth="1"/>
    <col min="13066" max="13066" width="21.5703125" style="311" customWidth="1"/>
    <col min="13067" max="13067" width="19.140625" style="311" customWidth="1"/>
    <col min="13068" max="13068" width="9.140625" style="311"/>
    <col min="13069" max="13069" width="8.85546875" style="311" customWidth="1"/>
    <col min="13070" max="13070" width="9.140625" style="311"/>
    <col min="13071" max="13072" width="9.28515625" style="311" customWidth="1"/>
    <col min="13073" max="13313" width="9.140625" style="311"/>
    <col min="13314" max="13314" width="8" style="311" customWidth="1"/>
    <col min="13315" max="13315" width="62.7109375" style="311" customWidth="1"/>
    <col min="13316" max="13316" width="5.7109375" style="311" customWidth="1"/>
    <col min="13317" max="13317" width="4.28515625" style="311" customWidth="1"/>
    <col min="13318" max="13318" width="8" style="311" customWidth="1"/>
    <col min="13319" max="13319" width="14.5703125" style="311" customWidth="1"/>
    <col min="13320" max="13320" width="8.28515625" style="311" customWidth="1"/>
    <col min="13321" max="13321" width="22" style="311" customWidth="1"/>
    <col min="13322" max="13322" width="21.5703125" style="311" customWidth="1"/>
    <col min="13323" max="13323" width="19.140625" style="311" customWidth="1"/>
    <col min="13324" max="13324" width="9.140625" style="311"/>
    <col min="13325" max="13325" width="8.85546875" style="311" customWidth="1"/>
    <col min="13326" max="13326" width="9.140625" style="311"/>
    <col min="13327" max="13328" width="9.28515625" style="311" customWidth="1"/>
    <col min="13329" max="13569" width="9.140625" style="311"/>
    <col min="13570" max="13570" width="8" style="311" customWidth="1"/>
    <col min="13571" max="13571" width="62.7109375" style="311" customWidth="1"/>
    <col min="13572" max="13572" width="5.7109375" style="311" customWidth="1"/>
    <col min="13573" max="13573" width="4.28515625" style="311" customWidth="1"/>
    <col min="13574" max="13574" width="8" style="311" customWidth="1"/>
    <col min="13575" max="13575" width="14.5703125" style="311" customWidth="1"/>
    <col min="13576" max="13576" width="8.28515625" style="311" customWidth="1"/>
    <col min="13577" max="13577" width="22" style="311" customWidth="1"/>
    <col min="13578" max="13578" width="21.5703125" style="311" customWidth="1"/>
    <col min="13579" max="13579" width="19.140625" style="311" customWidth="1"/>
    <col min="13580" max="13580" width="9.140625" style="311"/>
    <col min="13581" max="13581" width="8.85546875" style="311" customWidth="1"/>
    <col min="13582" max="13582" width="9.140625" style="311"/>
    <col min="13583" max="13584" width="9.28515625" style="311" customWidth="1"/>
    <col min="13585" max="13825" width="9.140625" style="311"/>
    <col min="13826" max="13826" width="8" style="311" customWidth="1"/>
    <col min="13827" max="13827" width="62.7109375" style="311" customWidth="1"/>
    <col min="13828" max="13828" width="5.7109375" style="311" customWidth="1"/>
    <col min="13829" max="13829" width="4.28515625" style="311" customWidth="1"/>
    <col min="13830" max="13830" width="8" style="311" customWidth="1"/>
    <col min="13831" max="13831" width="14.5703125" style="311" customWidth="1"/>
    <col min="13832" max="13832" width="8.28515625" style="311" customWidth="1"/>
    <col min="13833" max="13833" width="22" style="311" customWidth="1"/>
    <col min="13834" max="13834" width="21.5703125" style="311" customWidth="1"/>
    <col min="13835" max="13835" width="19.140625" style="311" customWidth="1"/>
    <col min="13836" max="13836" width="9.140625" style="311"/>
    <col min="13837" max="13837" width="8.85546875" style="311" customWidth="1"/>
    <col min="13838" max="13838" width="9.140625" style="311"/>
    <col min="13839" max="13840" width="9.28515625" style="311" customWidth="1"/>
    <col min="13841" max="14081" width="9.140625" style="311"/>
    <col min="14082" max="14082" width="8" style="311" customWidth="1"/>
    <col min="14083" max="14083" width="62.7109375" style="311" customWidth="1"/>
    <col min="14084" max="14084" width="5.7109375" style="311" customWidth="1"/>
    <col min="14085" max="14085" width="4.28515625" style="311" customWidth="1"/>
    <col min="14086" max="14086" width="8" style="311" customWidth="1"/>
    <col min="14087" max="14087" width="14.5703125" style="311" customWidth="1"/>
    <col min="14088" max="14088" width="8.28515625" style="311" customWidth="1"/>
    <col min="14089" max="14089" width="22" style="311" customWidth="1"/>
    <col min="14090" max="14090" width="21.5703125" style="311" customWidth="1"/>
    <col min="14091" max="14091" width="19.140625" style="311" customWidth="1"/>
    <col min="14092" max="14092" width="9.140625" style="311"/>
    <col min="14093" max="14093" width="8.85546875" style="311" customWidth="1"/>
    <col min="14094" max="14094" width="9.140625" style="311"/>
    <col min="14095" max="14096" width="9.28515625" style="311" customWidth="1"/>
    <col min="14097" max="14337" width="9.140625" style="311"/>
    <col min="14338" max="14338" width="8" style="311" customWidth="1"/>
    <col min="14339" max="14339" width="62.7109375" style="311" customWidth="1"/>
    <col min="14340" max="14340" width="5.7109375" style="311" customWidth="1"/>
    <col min="14341" max="14341" width="4.28515625" style="311" customWidth="1"/>
    <col min="14342" max="14342" width="8" style="311" customWidth="1"/>
    <col min="14343" max="14343" width="14.5703125" style="311" customWidth="1"/>
    <col min="14344" max="14344" width="8.28515625" style="311" customWidth="1"/>
    <col min="14345" max="14345" width="22" style="311" customWidth="1"/>
    <col min="14346" max="14346" width="21.5703125" style="311" customWidth="1"/>
    <col min="14347" max="14347" width="19.140625" style="311" customWidth="1"/>
    <col min="14348" max="14348" width="9.140625" style="311"/>
    <col min="14349" max="14349" width="8.85546875" style="311" customWidth="1"/>
    <col min="14350" max="14350" width="9.140625" style="311"/>
    <col min="14351" max="14352" width="9.28515625" style="311" customWidth="1"/>
    <col min="14353" max="14593" width="9.140625" style="311"/>
    <col min="14594" max="14594" width="8" style="311" customWidth="1"/>
    <col min="14595" max="14595" width="62.7109375" style="311" customWidth="1"/>
    <col min="14596" max="14596" width="5.7109375" style="311" customWidth="1"/>
    <col min="14597" max="14597" width="4.28515625" style="311" customWidth="1"/>
    <col min="14598" max="14598" width="8" style="311" customWidth="1"/>
    <col min="14599" max="14599" width="14.5703125" style="311" customWidth="1"/>
    <col min="14600" max="14600" width="8.28515625" style="311" customWidth="1"/>
    <col min="14601" max="14601" width="22" style="311" customWidth="1"/>
    <col min="14602" max="14602" width="21.5703125" style="311" customWidth="1"/>
    <col min="14603" max="14603" width="19.140625" style="311" customWidth="1"/>
    <col min="14604" max="14604" width="9.140625" style="311"/>
    <col min="14605" max="14605" width="8.85546875" style="311" customWidth="1"/>
    <col min="14606" max="14606" width="9.140625" style="311"/>
    <col min="14607" max="14608" width="9.28515625" style="311" customWidth="1"/>
    <col min="14609" max="14849" width="9.140625" style="311"/>
    <col min="14850" max="14850" width="8" style="311" customWidth="1"/>
    <col min="14851" max="14851" width="62.7109375" style="311" customWidth="1"/>
    <col min="14852" max="14852" width="5.7109375" style="311" customWidth="1"/>
    <col min="14853" max="14853" width="4.28515625" style="311" customWidth="1"/>
    <col min="14854" max="14854" width="8" style="311" customWidth="1"/>
    <col min="14855" max="14855" width="14.5703125" style="311" customWidth="1"/>
    <col min="14856" max="14856" width="8.28515625" style="311" customWidth="1"/>
    <col min="14857" max="14857" width="22" style="311" customWidth="1"/>
    <col min="14858" max="14858" width="21.5703125" style="311" customWidth="1"/>
    <col min="14859" max="14859" width="19.140625" style="311" customWidth="1"/>
    <col min="14860" max="14860" width="9.140625" style="311"/>
    <col min="14861" max="14861" width="8.85546875" style="311" customWidth="1"/>
    <col min="14862" max="14862" width="9.140625" style="311"/>
    <col min="14863" max="14864" width="9.28515625" style="311" customWidth="1"/>
    <col min="14865" max="15105" width="9.140625" style="311"/>
    <col min="15106" max="15106" width="8" style="311" customWidth="1"/>
    <col min="15107" max="15107" width="62.7109375" style="311" customWidth="1"/>
    <col min="15108" max="15108" width="5.7109375" style="311" customWidth="1"/>
    <col min="15109" max="15109" width="4.28515625" style="311" customWidth="1"/>
    <col min="15110" max="15110" width="8" style="311" customWidth="1"/>
    <col min="15111" max="15111" width="14.5703125" style="311" customWidth="1"/>
    <col min="15112" max="15112" width="8.28515625" style="311" customWidth="1"/>
    <col min="15113" max="15113" width="22" style="311" customWidth="1"/>
    <col min="15114" max="15114" width="21.5703125" style="311" customWidth="1"/>
    <col min="15115" max="15115" width="19.140625" style="311" customWidth="1"/>
    <col min="15116" max="15116" width="9.140625" style="311"/>
    <col min="15117" max="15117" width="8.85546875" style="311" customWidth="1"/>
    <col min="15118" max="15118" width="9.140625" style="311"/>
    <col min="15119" max="15120" width="9.28515625" style="311" customWidth="1"/>
    <col min="15121" max="15361" width="9.140625" style="311"/>
    <col min="15362" max="15362" width="8" style="311" customWidth="1"/>
    <col min="15363" max="15363" width="62.7109375" style="311" customWidth="1"/>
    <col min="15364" max="15364" width="5.7109375" style="311" customWidth="1"/>
    <col min="15365" max="15365" width="4.28515625" style="311" customWidth="1"/>
    <col min="15366" max="15366" width="8" style="311" customWidth="1"/>
    <col min="15367" max="15367" width="14.5703125" style="311" customWidth="1"/>
    <col min="15368" max="15368" width="8.28515625" style="311" customWidth="1"/>
    <col min="15369" max="15369" width="22" style="311" customWidth="1"/>
    <col min="15370" max="15370" width="21.5703125" style="311" customWidth="1"/>
    <col min="15371" max="15371" width="19.140625" style="311" customWidth="1"/>
    <col min="15372" max="15372" width="9.140625" style="311"/>
    <col min="15373" max="15373" width="8.85546875" style="311" customWidth="1"/>
    <col min="15374" max="15374" width="9.140625" style="311"/>
    <col min="15375" max="15376" width="9.28515625" style="311" customWidth="1"/>
    <col min="15377" max="15617" width="9.140625" style="311"/>
    <col min="15618" max="15618" width="8" style="311" customWidth="1"/>
    <col min="15619" max="15619" width="62.7109375" style="311" customWidth="1"/>
    <col min="15620" max="15620" width="5.7109375" style="311" customWidth="1"/>
    <col min="15621" max="15621" width="4.28515625" style="311" customWidth="1"/>
    <col min="15622" max="15622" width="8" style="311" customWidth="1"/>
    <col min="15623" max="15623" width="14.5703125" style="311" customWidth="1"/>
    <col min="15624" max="15624" width="8.28515625" style="311" customWidth="1"/>
    <col min="15625" max="15625" width="22" style="311" customWidth="1"/>
    <col min="15626" max="15626" width="21.5703125" style="311" customWidth="1"/>
    <col min="15627" max="15627" width="19.140625" style="311" customWidth="1"/>
    <col min="15628" max="15628" width="9.140625" style="311"/>
    <col min="15629" max="15629" width="8.85546875" style="311" customWidth="1"/>
    <col min="15630" max="15630" width="9.140625" style="311"/>
    <col min="15631" max="15632" width="9.28515625" style="311" customWidth="1"/>
    <col min="15633" max="15873" width="9.140625" style="311"/>
    <col min="15874" max="15874" width="8" style="311" customWidth="1"/>
    <col min="15875" max="15875" width="62.7109375" style="311" customWidth="1"/>
    <col min="15876" max="15876" width="5.7109375" style="311" customWidth="1"/>
    <col min="15877" max="15877" width="4.28515625" style="311" customWidth="1"/>
    <col min="15878" max="15878" width="8" style="311" customWidth="1"/>
    <col min="15879" max="15879" width="14.5703125" style="311" customWidth="1"/>
    <col min="15880" max="15880" width="8.28515625" style="311" customWidth="1"/>
    <col min="15881" max="15881" width="22" style="311" customWidth="1"/>
    <col min="15882" max="15882" width="21.5703125" style="311" customWidth="1"/>
    <col min="15883" max="15883" width="19.140625" style="311" customWidth="1"/>
    <col min="15884" max="15884" width="9.140625" style="311"/>
    <col min="15885" max="15885" width="8.85546875" style="311" customWidth="1"/>
    <col min="15886" max="15886" width="9.140625" style="311"/>
    <col min="15887" max="15888" width="9.28515625" style="311" customWidth="1"/>
    <col min="15889" max="16129" width="9.140625" style="311"/>
    <col min="16130" max="16130" width="8" style="311" customWidth="1"/>
    <col min="16131" max="16131" width="62.7109375" style="311" customWidth="1"/>
    <col min="16132" max="16132" width="5.7109375" style="311" customWidth="1"/>
    <col min="16133" max="16133" width="4.28515625" style="311" customWidth="1"/>
    <col min="16134" max="16134" width="8" style="311" customWidth="1"/>
    <col min="16135" max="16135" width="14.5703125" style="311" customWidth="1"/>
    <col min="16136" max="16136" width="8.28515625" style="311" customWidth="1"/>
    <col min="16137" max="16137" width="22" style="311" customWidth="1"/>
    <col min="16138" max="16138" width="21.5703125" style="311" customWidth="1"/>
    <col min="16139" max="16139" width="19.140625" style="311" customWidth="1"/>
    <col min="16140" max="16140" width="9.140625" style="311"/>
    <col min="16141" max="16141" width="8.85546875" style="311" customWidth="1"/>
    <col min="16142" max="16142" width="9.140625" style="311"/>
    <col min="16143" max="16144" width="9.28515625" style="311" customWidth="1"/>
    <col min="16145" max="16384" width="9.140625" style="311"/>
  </cols>
  <sheetData>
    <row r="1" spans="2:18" ht="14.85" customHeight="1" thickBot="1"/>
    <row r="2" spans="2:18" ht="15" customHeight="1">
      <c r="B2" s="865" t="s">
        <v>453</v>
      </c>
      <c r="C2" s="866"/>
      <c r="D2" s="866"/>
      <c r="E2" s="866"/>
      <c r="F2" s="866"/>
      <c r="G2" s="866"/>
      <c r="H2" s="866"/>
      <c r="I2" s="866"/>
      <c r="J2" s="866"/>
      <c r="K2" s="867"/>
    </row>
    <row r="3" spans="2:18" ht="15" customHeight="1">
      <c r="B3" s="888" t="s">
        <v>454</v>
      </c>
      <c r="C3" s="889"/>
      <c r="D3" s="889"/>
      <c r="E3" s="889"/>
      <c r="F3" s="889"/>
      <c r="G3" s="889"/>
      <c r="H3" s="889"/>
      <c r="I3" s="889"/>
      <c r="J3" s="889"/>
      <c r="K3" s="890"/>
      <c r="N3" s="564"/>
      <c r="O3" s="564"/>
    </row>
    <row r="4" spans="2:18" ht="15" customHeight="1">
      <c r="B4" s="888" t="s">
        <v>421</v>
      </c>
      <c r="C4" s="889"/>
      <c r="D4" s="889"/>
      <c r="E4" s="889"/>
      <c r="F4" s="889"/>
      <c r="G4" s="889"/>
      <c r="H4" s="889"/>
      <c r="I4" s="889"/>
      <c r="J4" s="889"/>
      <c r="K4" s="890"/>
      <c r="N4" s="76" t="s">
        <v>366</v>
      </c>
      <c r="O4" s="76"/>
    </row>
    <row r="5" spans="2:18" s="33" customFormat="1" ht="15">
      <c r="B5" s="698" t="s">
        <v>455</v>
      </c>
      <c r="C5" s="520"/>
      <c r="D5" s="520"/>
      <c r="E5" s="521"/>
      <c r="F5" s="520"/>
      <c r="G5" s="742"/>
      <c r="H5" s="740"/>
      <c r="I5" s="743"/>
      <c r="J5" s="526" t="s">
        <v>422</v>
      </c>
      <c r="K5" s="525" t="s">
        <v>588</v>
      </c>
      <c r="N5" s="564" t="s">
        <v>367</v>
      </c>
      <c r="O5" s="564">
        <v>52</v>
      </c>
    </row>
    <row r="6" spans="2:18" ht="12.75">
      <c r="B6" s="519" t="s">
        <v>451</v>
      </c>
      <c r="C6" s="520"/>
      <c r="D6" s="520"/>
      <c r="E6" s="521"/>
      <c r="F6" s="520"/>
      <c r="G6" s="522"/>
      <c r="H6" s="523"/>
      <c r="I6" s="521"/>
      <c r="J6" s="524" t="s">
        <v>423</v>
      </c>
      <c r="K6" s="525" t="s">
        <v>424</v>
      </c>
      <c r="N6" s="564" t="s">
        <v>368</v>
      </c>
      <c r="O6" s="575">
        <v>55</v>
      </c>
    </row>
    <row r="7" spans="2:18" ht="13.5" thickBot="1">
      <c r="B7" s="698" t="s">
        <v>452</v>
      </c>
      <c r="C7" s="699"/>
      <c r="D7" s="699"/>
      <c r="E7" s="699"/>
      <c r="F7" s="699"/>
      <c r="G7" s="699"/>
      <c r="H7" s="699"/>
      <c r="I7" s="699"/>
      <c r="J7" s="526" t="s">
        <v>425</v>
      </c>
      <c r="K7" s="527" t="s">
        <v>181</v>
      </c>
      <c r="N7" s="564" t="s">
        <v>369</v>
      </c>
      <c r="O7" s="564">
        <v>75</v>
      </c>
    </row>
    <row r="8" spans="2:18" ht="13.5" thickBot="1">
      <c r="B8" s="891" t="s">
        <v>119</v>
      </c>
      <c r="C8" s="893" t="s">
        <v>60</v>
      </c>
      <c r="D8" s="893"/>
      <c r="E8" s="893"/>
      <c r="F8" s="893"/>
      <c r="G8" s="895" t="s">
        <v>59</v>
      </c>
      <c r="H8" s="897" t="s">
        <v>171</v>
      </c>
      <c r="I8" s="899" t="s">
        <v>177</v>
      </c>
      <c r="J8" s="901" t="s">
        <v>178</v>
      </c>
      <c r="K8" s="903" t="s">
        <v>179</v>
      </c>
    </row>
    <row r="9" spans="2:18" ht="13.5" thickBot="1">
      <c r="B9" s="892"/>
      <c r="C9" s="894"/>
      <c r="D9" s="894"/>
      <c r="E9" s="894"/>
      <c r="F9" s="894"/>
      <c r="G9" s="896"/>
      <c r="H9" s="898"/>
      <c r="I9" s="900"/>
      <c r="J9" s="902"/>
      <c r="K9" s="904"/>
    </row>
    <row r="10" spans="2:18" ht="13.5" thickBot="1">
      <c r="B10" s="512">
        <v>1</v>
      </c>
      <c r="C10" s="513" t="s">
        <v>149</v>
      </c>
      <c r="D10" s="513"/>
      <c r="E10" s="514"/>
      <c r="F10" s="513"/>
      <c r="G10" s="515"/>
      <c r="H10" s="516"/>
      <c r="I10" s="514"/>
      <c r="J10" s="517"/>
      <c r="K10" s="518"/>
    </row>
    <row r="11" spans="2:18" ht="15" customHeight="1">
      <c r="B11" s="448" t="s">
        <v>54</v>
      </c>
      <c r="C11" s="449" t="s">
        <v>180</v>
      </c>
      <c r="D11" s="450"/>
      <c r="E11" s="451"/>
      <c r="F11" s="452"/>
      <c r="G11" s="453">
        <v>1</v>
      </c>
      <c r="H11" s="454" t="s">
        <v>181</v>
      </c>
      <c r="I11" s="454" t="s">
        <v>426</v>
      </c>
      <c r="J11" s="455">
        <v>111.73</v>
      </c>
      <c r="K11" s="456">
        <f>1.1*G11*J11</f>
        <v>122.90300000000002</v>
      </c>
      <c r="M11" s="79"/>
      <c r="O11" s="79"/>
      <c r="P11" s="79"/>
    </row>
    <row r="12" spans="2:18" ht="15" customHeight="1">
      <c r="B12" s="457" t="s">
        <v>53</v>
      </c>
      <c r="C12" s="458" t="s">
        <v>427</v>
      </c>
      <c r="D12" s="459"/>
      <c r="E12" s="460"/>
      <c r="F12" s="461"/>
      <c r="G12" s="462">
        <v>1</v>
      </c>
      <c r="H12" s="463" t="s">
        <v>181</v>
      </c>
      <c r="I12" s="463" t="s">
        <v>428</v>
      </c>
      <c r="J12" s="464">
        <v>135.24</v>
      </c>
      <c r="K12" s="465">
        <f>1.1*G12*J12</f>
        <v>148.76400000000001</v>
      </c>
      <c r="M12" s="79"/>
      <c r="O12" s="79"/>
      <c r="P12" s="79"/>
    </row>
    <row r="13" spans="2:18" ht="15" customHeight="1">
      <c r="B13" s="457" t="s">
        <v>52</v>
      </c>
      <c r="C13" s="458" t="s">
        <v>429</v>
      </c>
      <c r="D13" s="459"/>
      <c r="E13" s="460"/>
      <c r="F13" s="461"/>
      <c r="G13" s="462">
        <v>1</v>
      </c>
      <c r="H13" s="463" t="s">
        <v>181</v>
      </c>
      <c r="I13" s="463" t="s">
        <v>430</v>
      </c>
      <c r="J13" s="464">
        <v>50.9</v>
      </c>
      <c r="K13" s="465">
        <f>1.1*G13*J13</f>
        <v>55.99</v>
      </c>
      <c r="M13" s="79"/>
      <c r="O13" s="79"/>
      <c r="P13" s="79"/>
    </row>
    <row r="14" spans="2:18" ht="15" customHeight="1" thickBot="1">
      <c r="B14" s="466" t="s">
        <v>431</v>
      </c>
      <c r="C14" s="467" t="s">
        <v>182</v>
      </c>
      <c r="D14" s="468"/>
      <c r="E14" s="469"/>
      <c r="F14" s="470"/>
      <c r="G14" s="471">
        <v>1</v>
      </c>
      <c r="H14" s="472" t="s">
        <v>181</v>
      </c>
      <c r="I14" s="473" t="s">
        <v>432</v>
      </c>
      <c r="J14" s="474">
        <v>178.5</v>
      </c>
      <c r="K14" s="475">
        <f>0.6*G14*J14</f>
        <v>107.1</v>
      </c>
      <c r="M14" s="79"/>
      <c r="O14" s="79"/>
      <c r="P14" s="79"/>
    </row>
    <row r="15" spans="2:18" ht="15" customHeight="1" thickBot="1">
      <c r="B15" s="226" t="s">
        <v>50</v>
      </c>
      <c r="C15" s="81"/>
      <c r="D15" s="81"/>
      <c r="E15" s="81"/>
      <c r="F15" s="81"/>
      <c r="G15" s="82"/>
      <c r="H15" s="81"/>
      <c r="I15" s="81"/>
      <c r="J15" s="476"/>
      <c r="K15" s="227">
        <f>SUM(K11:K14)</f>
        <v>434.75700000000006</v>
      </c>
      <c r="M15" s="79"/>
      <c r="O15" s="79"/>
      <c r="P15" s="79"/>
      <c r="R15" s="48"/>
    </row>
    <row r="16" spans="2:18" ht="15" customHeight="1" thickBot="1">
      <c r="B16" s="222">
        <v>2</v>
      </c>
      <c r="C16" s="112" t="s">
        <v>150</v>
      </c>
      <c r="D16" s="112"/>
      <c r="E16" s="113"/>
      <c r="F16" s="112"/>
      <c r="G16" s="114"/>
      <c r="H16" s="231"/>
      <c r="I16" s="113"/>
      <c r="J16" s="113"/>
      <c r="K16" s="223"/>
      <c r="M16" s="79"/>
      <c r="O16" s="79"/>
      <c r="P16" s="79"/>
      <c r="R16" s="48"/>
    </row>
    <row r="17" spans="2:20" ht="15" customHeight="1">
      <c r="B17" s="228" t="s">
        <v>48</v>
      </c>
      <c r="C17" s="83" t="s">
        <v>433</v>
      </c>
      <c r="D17" s="84"/>
      <c r="E17" s="85"/>
      <c r="F17" s="477"/>
      <c r="G17" s="478">
        <v>2</v>
      </c>
      <c r="H17" s="479" t="s">
        <v>181</v>
      </c>
      <c r="I17" s="336" t="s">
        <v>434</v>
      </c>
      <c r="J17" s="480">
        <v>224.08</v>
      </c>
      <c r="K17" s="224">
        <f t="shared" ref="K17:K26" si="0">1.1*G17*J17</f>
        <v>492.97600000000006</v>
      </c>
      <c r="M17" s="79"/>
      <c r="O17" s="79"/>
      <c r="P17" s="79"/>
      <c r="R17" s="48"/>
    </row>
    <row r="18" spans="2:20" ht="15" customHeight="1">
      <c r="B18" s="481" t="s">
        <v>46</v>
      </c>
      <c r="C18" s="482" t="s">
        <v>183</v>
      </c>
      <c r="D18" s="483"/>
      <c r="E18" s="484"/>
      <c r="F18" s="485"/>
      <c r="G18" s="486">
        <v>1</v>
      </c>
      <c r="H18" s="463" t="s">
        <v>181</v>
      </c>
      <c r="I18" s="336" t="s">
        <v>434</v>
      </c>
      <c r="J18" s="480">
        <v>224.08</v>
      </c>
      <c r="K18" s="465">
        <f t="shared" si="0"/>
        <v>246.48800000000003</v>
      </c>
      <c r="M18" s="79"/>
      <c r="O18" s="79"/>
      <c r="P18" s="79"/>
      <c r="R18" s="48"/>
      <c r="T18" s="86"/>
    </row>
    <row r="19" spans="2:20" ht="15" customHeight="1">
      <c r="B19" s="481" t="s">
        <v>45</v>
      </c>
      <c r="C19" s="887" t="s">
        <v>151</v>
      </c>
      <c r="D19" s="887"/>
      <c r="E19" s="887"/>
      <c r="F19" s="887"/>
      <c r="G19" s="487">
        <v>1</v>
      </c>
      <c r="H19" s="463" t="s">
        <v>181</v>
      </c>
      <c r="I19" s="336" t="s">
        <v>434</v>
      </c>
      <c r="J19" s="480">
        <v>224.08</v>
      </c>
      <c r="K19" s="465">
        <f t="shared" si="0"/>
        <v>246.48800000000003</v>
      </c>
      <c r="M19" s="79"/>
      <c r="O19" s="79"/>
      <c r="P19" s="79"/>
      <c r="R19" s="48"/>
      <c r="T19" s="86"/>
    </row>
    <row r="20" spans="2:20" ht="15" customHeight="1">
      <c r="B20" s="481" t="s">
        <v>44</v>
      </c>
      <c r="C20" s="458" t="s">
        <v>152</v>
      </c>
      <c r="D20" s="459"/>
      <c r="E20" s="459"/>
      <c r="F20" s="461"/>
      <c r="G20" s="487">
        <v>2</v>
      </c>
      <c r="H20" s="463" t="s">
        <v>181</v>
      </c>
      <c r="I20" s="336" t="s">
        <v>434</v>
      </c>
      <c r="J20" s="480">
        <v>224.08</v>
      </c>
      <c r="K20" s="465">
        <f t="shared" si="0"/>
        <v>492.97600000000006</v>
      </c>
      <c r="M20" s="79"/>
      <c r="O20" s="79"/>
      <c r="P20" s="79"/>
      <c r="R20" s="48"/>
      <c r="T20" s="86"/>
    </row>
    <row r="21" spans="2:20" ht="15" customHeight="1">
      <c r="B21" s="481" t="s">
        <v>43</v>
      </c>
      <c r="C21" s="482" t="s">
        <v>184</v>
      </c>
      <c r="D21" s="459"/>
      <c r="E21" s="459"/>
      <c r="F21" s="461"/>
      <c r="G21" s="487">
        <v>1</v>
      </c>
      <c r="H21" s="463" t="s">
        <v>181</v>
      </c>
      <c r="I21" s="336" t="s">
        <v>434</v>
      </c>
      <c r="J21" s="480">
        <v>224.08</v>
      </c>
      <c r="K21" s="465">
        <f t="shared" si="0"/>
        <v>246.48800000000003</v>
      </c>
      <c r="M21" s="79"/>
      <c r="O21" s="79"/>
      <c r="P21" s="79"/>
      <c r="R21" s="48"/>
      <c r="T21" s="86"/>
    </row>
    <row r="22" spans="2:20" ht="15" customHeight="1">
      <c r="B22" s="481" t="s">
        <v>42</v>
      </c>
      <c r="C22" s="482" t="s">
        <v>185</v>
      </c>
      <c r="D22" s="483"/>
      <c r="E22" s="488"/>
      <c r="F22" s="485"/>
      <c r="G22" s="486">
        <v>1</v>
      </c>
      <c r="H22" s="463" t="s">
        <v>181</v>
      </c>
      <c r="I22" s="336" t="s">
        <v>434</v>
      </c>
      <c r="J22" s="480">
        <v>224.08</v>
      </c>
      <c r="K22" s="465">
        <f t="shared" si="0"/>
        <v>246.48800000000003</v>
      </c>
      <c r="M22" s="79"/>
      <c r="O22" s="79"/>
      <c r="P22" s="79"/>
      <c r="R22" s="48"/>
      <c r="T22" s="86"/>
    </row>
    <row r="23" spans="2:20" ht="15" customHeight="1">
      <c r="B23" s="481" t="s">
        <v>41</v>
      </c>
      <c r="C23" s="483" t="s">
        <v>186</v>
      </c>
      <c r="D23" s="483"/>
      <c r="E23" s="488"/>
      <c r="F23" s="485"/>
      <c r="G23" s="462">
        <v>1</v>
      </c>
      <c r="H23" s="463" t="s">
        <v>181</v>
      </c>
      <c r="I23" s="336" t="s">
        <v>434</v>
      </c>
      <c r="J23" s="480">
        <v>224.08</v>
      </c>
      <c r="K23" s="465">
        <f t="shared" si="0"/>
        <v>246.48800000000003</v>
      </c>
      <c r="M23" s="79"/>
      <c r="O23" s="79"/>
      <c r="P23" s="79"/>
      <c r="R23" s="48"/>
      <c r="T23" s="86"/>
    </row>
    <row r="24" spans="2:20" ht="15" customHeight="1">
      <c r="B24" s="481" t="s">
        <v>40</v>
      </c>
      <c r="C24" s="483" t="s">
        <v>436</v>
      </c>
      <c r="D24" s="483"/>
      <c r="E24" s="484"/>
      <c r="F24" s="485"/>
      <c r="G24" s="462">
        <v>1</v>
      </c>
      <c r="H24" s="463" t="s">
        <v>181</v>
      </c>
      <c r="I24" s="336" t="s">
        <v>434</v>
      </c>
      <c r="J24" s="480">
        <v>224.08</v>
      </c>
      <c r="K24" s="465">
        <f t="shared" si="0"/>
        <v>246.48800000000003</v>
      </c>
      <c r="M24" s="79"/>
      <c r="O24" s="79"/>
      <c r="P24" s="79"/>
      <c r="Q24" s="48"/>
      <c r="R24" s="48"/>
      <c r="T24" s="86"/>
    </row>
    <row r="25" spans="2:20" ht="15" customHeight="1">
      <c r="B25" s="481" t="s">
        <v>70</v>
      </c>
      <c r="C25" s="483" t="s">
        <v>437</v>
      </c>
      <c r="D25" s="483"/>
      <c r="E25" s="484"/>
      <c r="F25" s="485"/>
      <c r="G25" s="462">
        <v>1</v>
      </c>
      <c r="H25" s="463" t="s">
        <v>181</v>
      </c>
      <c r="I25" s="336" t="s">
        <v>434</v>
      </c>
      <c r="J25" s="480">
        <v>224.08</v>
      </c>
      <c r="K25" s="465">
        <f t="shared" si="0"/>
        <v>246.48800000000003</v>
      </c>
      <c r="M25" s="79"/>
      <c r="O25" s="79"/>
      <c r="P25" s="79"/>
      <c r="Q25" s="48"/>
      <c r="R25" s="48"/>
      <c r="T25" s="86"/>
    </row>
    <row r="26" spans="2:20" ht="15" customHeight="1" thickBot="1">
      <c r="B26" s="489" t="s">
        <v>211</v>
      </c>
      <c r="C26" s="490" t="s">
        <v>187</v>
      </c>
      <c r="D26" s="490"/>
      <c r="E26" s="491"/>
      <c r="F26" s="492"/>
      <c r="G26" s="493">
        <v>1</v>
      </c>
      <c r="H26" s="472" t="s">
        <v>181</v>
      </c>
      <c r="I26" s="336" t="s">
        <v>434</v>
      </c>
      <c r="J26" s="480">
        <v>224.08</v>
      </c>
      <c r="K26" s="475">
        <f t="shared" si="0"/>
        <v>246.48800000000003</v>
      </c>
      <c r="M26" s="79"/>
      <c r="O26" s="79"/>
      <c r="P26" s="79"/>
      <c r="Q26" s="48"/>
      <c r="R26" s="48"/>
      <c r="T26" s="86"/>
    </row>
    <row r="27" spans="2:20" ht="15" customHeight="1" thickBot="1">
      <c r="B27" s="226" t="s">
        <v>39</v>
      </c>
      <c r="C27" s="81"/>
      <c r="D27" s="81"/>
      <c r="E27" s="81"/>
      <c r="F27" s="81"/>
      <c r="G27" s="82"/>
      <c r="H27" s="81"/>
      <c r="I27" s="81"/>
      <c r="J27" s="476"/>
      <c r="K27" s="227">
        <f>SUM(K17:K26)</f>
        <v>2957.8559999999998</v>
      </c>
      <c r="M27" s="79"/>
      <c r="O27" s="79"/>
      <c r="P27" s="79"/>
      <c r="Q27" s="48"/>
      <c r="R27" s="48"/>
    </row>
    <row r="28" spans="2:20" ht="15" customHeight="1" thickBot="1">
      <c r="B28" s="222">
        <v>3</v>
      </c>
      <c r="C28" s="112" t="s">
        <v>153</v>
      </c>
      <c r="D28" s="112"/>
      <c r="E28" s="113"/>
      <c r="F28" s="112"/>
      <c r="G28" s="114"/>
      <c r="H28" s="231"/>
      <c r="I28" s="113"/>
      <c r="J28" s="113"/>
      <c r="K28" s="223"/>
      <c r="M28" s="79"/>
      <c r="O28" s="79"/>
      <c r="P28" s="79"/>
      <c r="Q28" s="48"/>
      <c r="R28" s="48"/>
    </row>
    <row r="29" spans="2:20" ht="15" customHeight="1">
      <c r="B29" s="228" t="s">
        <v>37</v>
      </c>
      <c r="C29" s="494" t="s">
        <v>438</v>
      </c>
      <c r="D29" s="78"/>
      <c r="E29" s="495"/>
      <c r="F29" s="496"/>
      <c r="G29" s="414">
        <v>2</v>
      </c>
      <c r="H29" s="479" t="s">
        <v>181</v>
      </c>
      <c r="I29" s="479" t="s">
        <v>439</v>
      </c>
      <c r="J29" s="497">
        <v>137.61000000000001</v>
      </c>
      <c r="K29" s="224">
        <f>1.1*G29*J29</f>
        <v>302.74200000000008</v>
      </c>
      <c r="M29" s="79"/>
      <c r="O29" s="79"/>
      <c r="P29" s="79"/>
      <c r="Q29" s="48"/>
      <c r="R29" s="48"/>
      <c r="T29" s="86"/>
    </row>
    <row r="30" spans="2:20" ht="15" customHeight="1">
      <c r="B30" s="481" t="s">
        <v>35</v>
      </c>
      <c r="C30" s="498" t="s">
        <v>440</v>
      </c>
      <c r="D30" s="459"/>
      <c r="E30" s="499"/>
      <c r="F30" s="461"/>
      <c r="G30" s="462">
        <v>1</v>
      </c>
      <c r="H30" s="463" t="s">
        <v>181</v>
      </c>
      <c r="I30" s="336" t="s">
        <v>435</v>
      </c>
      <c r="J30" s="500">
        <v>173.53</v>
      </c>
      <c r="K30" s="465">
        <f>1.1*G30*J30</f>
        <v>190.88300000000001</v>
      </c>
      <c r="M30" s="79"/>
      <c r="O30" s="79"/>
      <c r="P30" s="79"/>
      <c r="Q30" s="48"/>
      <c r="R30" s="48"/>
      <c r="T30" s="86"/>
    </row>
    <row r="31" spans="2:20" ht="15" customHeight="1">
      <c r="B31" s="481" t="s">
        <v>34</v>
      </c>
      <c r="C31" s="498" t="s">
        <v>441</v>
      </c>
      <c r="D31" s="459"/>
      <c r="E31" s="499"/>
      <c r="F31" s="461"/>
      <c r="G31" s="462">
        <v>1</v>
      </c>
      <c r="H31" s="463" t="s">
        <v>181</v>
      </c>
      <c r="I31" s="336" t="s">
        <v>442</v>
      </c>
      <c r="J31" s="500">
        <v>188.08</v>
      </c>
      <c r="K31" s="465">
        <f>1.1*G31*J31</f>
        <v>206.88800000000003</v>
      </c>
      <c r="M31" s="79"/>
      <c r="O31" s="79"/>
      <c r="P31" s="79"/>
      <c r="Q31" s="48"/>
      <c r="R31" s="48"/>
      <c r="T31" s="86"/>
    </row>
    <row r="32" spans="2:20" ht="15" customHeight="1">
      <c r="B32" s="481" t="s">
        <v>33</v>
      </c>
      <c r="C32" s="498" t="s">
        <v>443</v>
      </c>
      <c r="D32" s="459"/>
      <c r="E32" s="499"/>
      <c r="F32" s="461"/>
      <c r="G32" s="462">
        <v>1</v>
      </c>
      <c r="H32" s="463" t="s">
        <v>181</v>
      </c>
      <c r="I32" s="336" t="s">
        <v>444</v>
      </c>
      <c r="J32" s="500">
        <v>180.57</v>
      </c>
      <c r="K32" s="465">
        <v>48.41</v>
      </c>
      <c r="M32" s="79"/>
      <c r="O32" s="79"/>
      <c r="P32" s="79"/>
      <c r="Q32" s="48"/>
      <c r="R32" s="48"/>
      <c r="T32" s="86"/>
    </row>
    <row r="33" spans="2:20" ht="15" customHeight="1">
      <c r="B33" s="481" t="s">
        <v>32</v>
      </c>
      <c r="C33" s="498" t="s">
        <v>445</v>
      </c>
      <c r="D33" s="459"/>
      <c r="E33" s="499"/>
      <c r="F33" s="461"/>
      <c r="G33" s="462">
        <v>1</v>
      </c>
      <c r="H33" s="463" t="s">
        <v>181</v>
      </c>
      <c r="I33" s="336" t="s">
        <v>446</v>
      </c>
      <c r="J33" s="500">
        <v>145.6</v>
      </c>
      <c r="K33" s="465">
        <f>1.1*G33*J33</f>
        <v>160.16</v>
      </c>
      <c r="M33" s="79"/>
      <c r="O33" s="79"/>
      <c r="P33" s="79"/>
      <c r="Q33" s="48"/>
      <c r="R33" s="48"/>
      <c r="T33" s="86"/>
    </row>
    <row r="34" spans="2:20" ht="15" customHeight="1" thickBot="1">
      <c r="B34" s="489" t="s">
        <v>31</v>
      </c>
      <c r="C34" s="501" t="s">
        <v>188</v>
      </c>
      <c r="D34" s="502"/>
      <c r="E34" s="503"/>
      <c r="F34" s="504"/>
      <c r="G34" s="493">
        <v>1</v>
      </c>
      <c r="H34" s="472" t="s">
        <v>181</v>
      </c>
      <c r="I34" s="505" t="s">
        <v>447</v>
      </c>
      <c r="J34" s="506">
        <v>138.07</v>
      </c>
      <c r="K34" s="475">
        <f>1.1*G34*J34</f>
        <v>151.87700000000001</v>
      </c>
      <c r="M34" s="79"/>
      <c r="O34" s="79"/>
      <c r="P34" s="79"/>
      <c r="Q34" s="48"/>
      <c r="R34" s="48"/>
      <c r="T34" s="86"/>
    </row>
    <row r="35" spans="2:20" ht="15" customHeight="1" thickBot="1">
      <c r="B35" s="226" t="s">
        <v>18</v>
      </c>
      <c r="C35" s="81"/>
      <c r="D35" s="81"/>
      <c r="E35" s="81"/>
      <c r="F35" s="81"/>
      <c r="G35" s="82"/>
      <c r="H35" s="81"/>
      <c r="I35" s="81"/>
      <c r="J35" s="82"/>
      <c r="K35" s="227">
        <f>SUM(K29:K34)</f>
        <v>1060.96</v>
      </c>
      <c r="M35" s="79"/>
      <c r="O35" s="79"/>
      <c r="P35" s="79"/>
      <c r="Q35" s="48"/>
      <c r="R35" s="48"/>
    </row>
    <row r="36" spans="2:20" ht="15" customHeight="1" thickBot="1">
      <c r="B36" s="547" t="s">
        <v>154</v>
      </c>
      <c r="C36" s="548"/>
      <c r="D36" s="548"/>
      <c r="E36" s="548"/>
      <c r="F36" s="548"/>
      <c r="G36" s="549"/>
      <c r="H36" s="548"/>
      <c r="I36" s="548"/>
      <c r="J36" s="549"/>
      <c r="K36" s="550">
        <f>K15+K27+K35</f>
        <v>4453.5730000000003</v>
      </c>
      <c r="Q36" s="48"/>
      <c r="R36" s="48"/>
    </row>
    <row r="37" spans="2:20" ht="15" customHeight="1" thickBot="1">
      <c r="B37" s="551" t="s">
        <v>448</v>
      </c>
      <c r="C37" s="552"/>
      <c r="D37" s="552"/>
      <c r="E37" s="552"/>
      <c r="F37" s="552"/>
      <c r="G37" s="553"/>
      <c r="H37" s="552"/>
      <c r="I37" s="552"/>
      <c r="J37" s="553"/>
      <c r="K37" s="554">
        <f>1*K36</f>
        <v>4453.5730000000003</v>
      </c>
    </row>
    <row r="38" spans="2:20" s="510" customFormat="1" ht="15" customHeight="1">
      <c r="B38" s="507" t="s">
        <v>449</v>
      </c>
      <c r="C38" s="508"/>
      <c r="D38" s="508"/>
      <c r="E38" s="508"/>
      <c r="F38" s="508"/>
      <c r="G38" s="508"/>
      <c r="H38" s="508"/>
      <c r="I38" s="508"/>
      <c r="J38" s="508"/>
      <c r="K38" s="509"/>
    </row>
    <row r="39" spans="2:20" s="511" customFormat="1" ht="15" customHeight="1" thickBot="1">
      <c r="B39" s="432" t="s">
        <v>590</v>
      </c>
      <c r="C39" s="744"/>
      <c r="D39" s="744"/>
      <c r="E39" s="744"/>
      <c r="F39" s="744"/>
      <c r="G39" s="744"/>
      <c r="H39" s="744"/>
      <c r="I39" s="744"/>
      <c r="J39" s="744"/>
      <c r="K39" s="745"/>
    </row>
  </sheetData>
  <mergeCells count="11">
    <mergeCell ref="C19:F19"/>
    <mergeCell ref="B2:K2"/>
    <mergeCell ref="B3:K3"/>
    <mergeCell ref="B4:K4"/>
    <mergeCell ref="B8:B9"/>
    <mergeCell ref="C8:F9"/>
    <mergeCell ref="G8:G9"/>
    <mergeCell ref="H8:H9"/>
    <mergeCell ref="I8:I9"/>
    <mergeCell ref="J8:J9"/>
    <mergeCell ref="K8:K9"/>
  </mergeCells>
  <printOptions horizontalCentered="1"/>
  <pageMargins left="0.98425196850393704" right="1.1811023622047245" top="1.1811023622047245" bottom="0.98425196850393704" header="0.31496062992125984" footer="0.31496062992125984"/>
  <pageSetup paperSize="9" scale="70" orientation="landscape" horizontalDpi="1200" verticalDpi="1200" r:id="rId1"/>
</worksheet>
</file>

<file path=xl/worksheets/sheet7.xml><?xml version="1.0" encoding="utf-8"?>
<worksheet xmlns="http://schemas.openxmlformats.org/spreadsheetml/2006/main" xmlns:r="http://schemas.openxmlformats.org/officeDocument/2006/relationships">
  <sheetPr>
    <pageSetUpPr fitToPage="1"/>
  </sheetPr>
  <dimension ref="B1:M18"/>
  <sheetViews>
    <sheetView workbookViewId="0">
      <selection activeCell="D42" sqref="D42"/>
    </sheetView>
  </sheetViews>
  <sheetFormatPr defaultRowHeight="14.85" customHeight="1"/>
  <cols>
    <col min="1" max="1" width="9.140625" style="311"/>
    <col min="2" max="2" width="8" style="311" customWidth="1"/>
    <col min="3" max="3" width="22" style="311" customWidth="1"/>
    <col min="4" max="4" width="62.7109375" style="311" customWidth="1"/>
    <col min="5" max="5" width="5.7109375" style="311" customWidth="1"/>
    <col min="6" max="6" width="4.28515625" style="311" customWidth="1"/>
    <col min="7" max="7" width="8" style="311" customWidth="1"/>
    <col min="8" max="8" width="8.28515625" style="311" customWidth="1"/>
    <col min="9" max="9" width="14.5703125" style="88" customWidth="1"/>
    <col min="10" max="10" width="21.5703125" style="88" customWidth="1"/>
    <col min="11" max="11" width="19.140625" style="88" customWidth="1"/>
    <col min="12" max="250" width="9.140625" style="311"/>
    <col min="251" max="251" width="8" style="311" customWidth="1"/>
    <col min="252" max="252" width="62.7109375" style="311" customWidth="1"/>
    <col min="253" max="253" width="5.7109375" style="311" customWidth="1"/>
    <col min="254" max="254" width="4.28515625" style="311" customWidth="1"/>
    <col min="255" max="255" width="8" style="311" customWidth="1"/>
    <col min="256" max="256" width="14.5703125" style="311" customWidth="1"/>
    <col min="257" max="257" width="8.28515625" style="311" customWidth="1"/>
    <col min="258" max="258" width="22" style="311" customWidth="1"/>
    <col min="259" max="259" width="21.5703125" style="311" customWidth="1"/>
    <col min="260" max="260" width="19.140625" style="311" customWidth="1"/>
    <col min="261" max="261" width="9.140625" style="311"/>
    <col min="262" max="262" width="8.85546875" style="311" customWidth="1"/>
    <col min="263" max="263" width="9.140625" style="311"/>
    <col min="264" max="265" width="9.28515625" style="311" customWidth="1"/>
    <col min="266" max="506" width="9.140625" style="311"/>
    <col min="507" max="507" width="8" style="311" customWidth="1"/>
    <col min="508" max="508" width="62.7109375" style="311" customWidth="1"/>
    <col min="509" max="509" width="5.7109375" style="311" customWidth="1"/>
    <col min="510" max="510" width="4.28515625" style="311" customWidth="1"/>
    <col min="511" max="511" width="8" style="311" customWidth="1"/>
    <col min="512" max="512" width="14.5703125" style="311" customWidth="1"/>
    <col min="513" max="513" width="8.28515625" style="311" customWidth="1"/>
    <col min="514" max="514" width="22" style="311" customWidth="1"/>
    <col min="515" max="515" width="21.5703125" style="311" customWidth="1"/>
    <col min="516" max="516" width="19.140625" style="311" customWidth="1"/>
    <col min="517" max="517" width="9.140625" style="311"/>
    <col min="518" max="518" width="8.85546875" style="311" customWidth="1"/>
    <col min="519" max="519" width="9.140625" style="311"/>
    <col min="520" max="521" width="9.28515625" style="311" customWidth="1"/>
    <col min="522" max="762" width="9.140625" style="311"/>
    <col min="763" max="763" width="8" style="311" customWidth="1"/>
    <col min="764" max="764" width="62.7109375" style="311" customWidth="1"/>
    <col min="765" max="765" width="5.7109375" style="311" customWidth="1"/>
    <col min="766" max="766" width="4.28515625" style="311" customWidth="1"/>
    <col min="767" max="767" width="8" style="311" customWidth="1"/>
    <col min="768" max="768" width="14.5703125" style="311" customWidth="1"/>
    <col min="769" max="769" width="8.28515625" style="311" customWidth="1"/>
    <col min="770" max="770" width="22" style="311" customWidth="1"/>
    <col min="771" max="771" width="21.5703125" style="311" customWidth="1"/>
    <col min="772" max="772" width="19.140625" style="311" customWidth="1"/>
    <col min="773" max="773" width="9.140625" style="311"/>
    <col min="774" max="774" width="8.85546875" style="311" customWidth="1"/>
    <col min="775" max="775" width="9.140625" style="311"/>
    <col min="776" max="777" width="9.28515625" style="311" customWidth="1"/>
    <col min="778" max="1018" width="9.140625" style="311"/>
    <col min="1019" max="1019" width="8" style="311" customWidth="1"/>
    <col min="1020" max="1020" width="62.7109375" style="311" customWidth="1"/>
    <col min="1021" max="1021" width="5.7109375" style="311" customWidth="1"/>
    <col min="1022" max="1022" width="4.28515625" style="311" customWidth="1"/>
    <col min="1023" max="1023" width="8" style="311" customWidth="1"/>
    <col min="1024" max="1024" width="14.5703125" style="311" customWidth="1"/>
    <col min="1025" max="1025" width="8.28515625" style="311" customWidth="1"/>
    <col min="1026" max="1026" width="22" style="311" customWidth="1"/>
    <col min="1027" max="1027" width="21.5703125" style="311" customWidth="1"/>
    <col min="1028" max="1028" width="19.140625" style="311" customWidth="1"/>
    <col min="1029" max="1029" width="9.140625" style="311"/>
    <col min="1030" max="1030" width="8.85546875" style="311" customWidth="1"/>
    <col min="1031" max="1031" width="9.140625" style="311"/>
    <col min="1032" max="1033" width="9.28515625" style="311" customWidth="1"/>
    <col min="1034" max="1274" width="9.140625" style="311"/>
    <col min="1275" max="1275" width="8" style="311" customWidth="1"/>
    <col min="1276" max="1276" width="62.7109375" style="311" customWidth="1"/>
    <col min="1277" max="1277" width="5.7109375" style="311" customWidth="1"/>
    <col min="1278" max="1278" width="4.28515625" style="311" customWidth="1"/>
    <col min="1279" max="1279" width="8" style="311" customWidth="1"/>
    <col min="1280" max="1280" width="14.5703125" style="311" customWidth="1"/>
    <col min="1281" max="1281" width="8.28515625" style="311" customWidth="1"/>
    <col min="1282" max="1282" width="22" style="311" customWidth="1"/>
    <col min="1283" max="1283" width="21.5703125" style="311" customWidth="1"/>
    <col min="1284" max="1284" width="19.140625" style="311" customWidth="1"/>
    <col min="1285" max="1285" width="9.140625" style="311"/>
    <col min="1286" max="1286" width="8.85546875" style="311" customWidth="1"/>
    <col min="1287" max="1287" width="9.140625" style="311"/>
    <col min="1288" max="1289" width="9.28515625" style="311" customWidth="1"/>
    <col min="1290" max="1530" width="9.140625" style="311"/>
    <col min="1531" max="1531" width="8" style="311" customWidth="1"/>
    <col min="1532" max="1532" width="62.7109375" style="311" customWidth="1"/>
    <col min="1533" max="1533" width="5.7109375" style="311" customWidth="1"/>
    <col min="1534" max="1534" width="4.28515625" style="311" customWidth="1"/>
    <col min="1535" max="1535" width="8" style="311" customWidth="1"/>
    <col min="1536" max="1536" width="14.5703125" style="311" customWidth="1"/>
    <col min="1537" max="1537" width="8.28515625" style="311" customWidth="1"/>
    <col min="1538" max="1538" width="22" style="311" customWidth="1"/>
    <col min="1539" max="1539" width="21.5703125" style="311" customWidth="1"/>
    <col min="1540" max="1540" width="19.140625" style="311" customWidth="1"/>
    <col min="1541" max="1541" width="9.140625" style="311"/>
    <col min="1542" max="1542" width="8.85546875" style="311" customWidth="1"/>
    <col min="1543" max="1543" width="9.140625" style="311"/>
    <col min="1544" max="1545" width="9.28515625" style="311" customWidth="1"/>
    <col min="1546" max="1786" width="9.140625" style="311"/>
    <col min="1787" max="1787" width="8" style="311" customWidth="1"/>
    <col min="1788" max="1788" width="62.7109375" style="311" customWidth="1"/>
    <col min="1789" max="1789" width="5.7109375" style="311" customWidth="1"/>
    <col min="1790" max="1790" width="4.28515625" style="311" customWidth="1"/>
    <col min="1791" max="1791" width="8" style="311" customWidth="1"/>
    <col min="1792" max="1792" width="14.5703125" style="311" customWidth="1"/>
    <col min="1793" max="1793" width="8.28515625" style="311" customWidth="1"/>
    <col min="1794" max="1794" width="22" style="311" customWidth="1"/>
    <col min="1795" max="1795" width="21.5703125" style="311" customWidth="1"/>
    <col min="1796" max="1796" width="19.140625" style="311" customWidth="1"/>
    <col min="1797" max="1797" width="9.140625" style="311"/>
    <col min="1798" max="1798" width="8.85546875" style="311" customWidth="1"/>
    <col min="1799" max="1799" width="9.140625" style="311"/>
    <col min="1800" max="1801" width="9.28515625" style="311" customWidth="1"/>
    <col min="1802" max="2042" width="9.140625" style="311"/>
    <col min="2043" max="2043" width="8" style="311" customWidth="1"/>
    <col min="2044" max="2044" width="62.7109375" style="311" customWidth="1"/>
    <col min="2045" max="2045" width="5.7109375" style="311" customWidth="1"/>
    <col min="2046" max="2046" width="4.28515625" style="311" customWidth="1"/>
    <col min="2047" max="2047" width="8" style="311" customWidth="1"/>
    <col min="2048" max="2048" width="14.5703125" style="311" customWidth="1"/>
    <col min="2049" max="2049" width="8.28515625" style="311" customWidth="1"/>
    <col min="2050" max="2050" width="22" style="311" customWidth="1"/>
    <col min="2051" max="2051" width="21.5703125" style="311" customWidth="1"/>
    <col min="2052" max="2052" width="19.140625" style="311" customWidth="1"/>
    <col min="2053" max="2053" width="9.140625" style="311"/>
    <col min="2054" max="2054" width="8.85546875" style="311" customWidth="1"/>
    <col min="2055" max="2055" width="9.140625" style="311"/>
    <col min="2056" max="2057" width="9.28515625" style="311" customWidth="1"/>
    <col min="2058" max="2298" width="9.140625" style="311"/>
    <col min="2299" max="2299" width="8" style="311" customWidth="1"/>
    <col min="2300" max="2300" width="62.7109375" style="311" customWidth="1"/>
    <col min="2301" max="2301" width="5.7109375" style="311" customWidth="1"/>
    <col min="2302" max="2302" width="4.28515625" style="311" customWidth="1"/>
    <col min="2303" max="2303" width="8" style="311" customWidth="1"/>
    <col min="2304" max="2304" width="14.5703125" style="311" customWidth="1"/>
    <col min="2305" max="2305" width="8.28515625" style="311" customWidth="1"/>
    <col min="2306" max="2306" width="22" style="311" customWidth="1"/>
    <col min="2307" max="2307" width="21.5703125" style="311" customWidth="1"/>
    <col min="2308" max="2308" width="19.140625" style="311" customWidth="1"/>
    <col min="2309" max="2309" width="9.140625" style="311"/>
    <col min="2310" max="2310" width="8.85546875" style="311" customWidth="1"/>
    <col min="2311" max="2311" width="9.140625" style="311"/>
    <col min="2312" max="2313" width="9.28515625" style="311" customWidth="1"/>
    <col min="2314" max="2554" width="9.140625" style="311"/>
    <col min="2555" max="2555" width="8" style="311" customWidth="1"/>
    <col min="2556" max="2556" width="62.7109375" style="311" customWidth="1"/>
    <col min="2557" max="2557" width="5.7109375" style="311" customWidth="1"/>
    <col min="2558" max="2558" width="4.28515625" style="311" customWidth="1"/>
    <col min="2559" max="2559" width="8" style="311" customWidth="1"/>
    <col min="2560" max="2560" width="14.5703125" style="311" customWidth="1"/>
    <col min="2561" max="2561" width="8.28515625" style="311" customWidth="1"/>
    <col min="2562" max="2562" width="22" style="311" customWidth="1"/>
    <col min="2563" max="2563" width="21.5703125" style="311" customWidth="1"/>
    <col min="2564" max="2564" width="19.140625" style="311" customWidth="1"/>
    <col min="2565" max="2565" width="9.140625" style="311"/>
    <col min="2566" max="2566" width="8.85546875" style="311" customWidth="1"/>
    <col min="2567" max="2567" width="9.140625" style="311"/>
    <col min="2568" max="2569" width="9.28515625" style="311" customWidth="1"/>
    <col min="2570" max="2810" width="9.140625" style="311"/>
    <col min="2811" max="2811" width="8" style="311" customWidth="1"/>
    <col min="2812" max="2812" width="62.7109375" style="311" customWidth="1"/>
    <col min="2813" max="2813" width="5.7109375" style="311" customWidth="1"/>
    <col min="2814" max="2814" width="4.28515625" style="311" customWidth="1"/>
    <col min="2815" max="2815" width="8" style="311" customWidth="1"/>
    <col min="2816" max="2816" width="14.5703125" style="311" customWidth="1"/>
    <col min="2817" max="2817" width="8.28515625" style="311" customWidth="1"/>
    <col min="2818" max="2818" width="22" style="311" customWidth="1"/>
    <col min="2819" max="2819" width="21.5703125" style="311" customWidth="1"/>
    <col min="2820" max="2820" width="19.140625" style="311" customWidth="1"/>
    <col min="2821" max="2821" width="9.140625" style="311"/>
    <col min="2822" max="2822" width="8.85546875" style="311" customWidth="1"/>
    <col min="2823" max="2823" width="9.140625" style="311"/>
    <col min="2824" max="2825" width="9.28515625" style="311" customWidth="1"/>
    <col min="2826" max="3066" width="9.140625" style="311"/>
    <col min="3067" max="3067" width="8" style="311" customWidth="1"/>
    <col min="3068" max="3068" width="62.7109375" style="311" customWidth="1"/>
    <col min="3069" max="3069" width="5.7109375" style="311" customWidth="1"/>
    <col min="3070" max="3070" width="4.28515625" style="311" customWidth="1"/>
    <col min="3071" max="3071" width="8" style="311" customWidth="1"/>
    <col min="3072" max="3072" width="14.5703125" style="311" customWidth="1"/>
    <col min="3073" max="3073" width="8.28515625" style="311" customWidth="1"/>
    <col min="3074" max="3074" width="22" style="311" customWidth="1"/>
    <col min="3075" max="3075" width="21.5703125" style="311" customWidth="1"/>
    <col min="3076" max="3076" width="19.140625" style="311" customWidth="1"/>
    <col min="3077" max="3077" width="9.140625" style="311"/>
    <col min="3078" max="3078" width="8.85546875" style="311" customWidth="1"/>
    <col min="3079" max="3079" width="9.140625" style="311"/>
    <col min="3080" max="3081" width="9.28515625" style="311" customWidth="1"/>
    <col min="3082" max="3322" width="9.140625" style="311"/>
    <col min="3323" max="3323" width="8" style="311" customWidth="1"/>
    <col min="3324" max="3324" width="62.7109375" style="311" customWidth="1"/>
    <col min="3325" max="3325" width="5.7109375" style="311" customWidth="1"/>
    <col min="3326" max="3326" width="4.28515625" style="311" customWidth="1"/>
    <col min="3327" max="3327" width="8" style="311" customWidth="1"/>
    <col min="3328" max="3328" width="14.5703125" style="311" customWidth="1"/>
    <col min="3329" max="3329" width="8.28515625" style="311" customWidth="1"/>
    <col min="3330" max="3330" width="22" style="311" customWidth="1"/>
    <col min="3331" max="3331" width="21.5703125" style="311" customWidth="1"/>
    <col min="3332" max="3332" width="19.140625" style="311" customWidth="1"/>
    <col min="3333" max="3333" width="9.140625" style="311"/>
    <col min="3334" max="3334" width="8.85546875" style="311" customWidth="1"/>
    <col min="3335" max="3335" width="9.140625" style="311"/>
    <col min="3336" max="3337" width="9.28515625" style="311" customWidth="1"/>
    <col min="3338" max="3578" width="9.140625" style="311"/>
    <col min="3579" max="3579" width="8" style="311" customWidth="1"/>
    <col min="3580" max="3580" width="62.7109375" style="311" customWidth="1"/>
    <col min="3581" max="3581" width="5.7109375" style="311" customWidth="1"/>
    <col min="3582" max="3582" width="4.28515625" style="311" customWidth="1"/>
    <col min="3583" max="3583" width="8" style="311" customWidth="1"/>
    <col min="3584" max="3584" width="14.5703125" style="311" customWidth="1"/>
    <col min="3585" max="3585" width="8.28515625" style="311" customWidth="1"/>
    <col min="3586" max="3586" width="22" style="311" customWidth="1"/>
    <col min="3587" max="3587" width="21.5703125" style="311" customWidth="1"/>
    <col min="3588" max="3588" width="19.140625" style="311" customWidth="1"/>
    <col min="3589" max="3589" width="9.140625" style="311"/>
    <col min="3590" max="3590" width="8.85546875" style="311" customWidth="1"/>
    <col min="3591" max="3591" width="9.140625" style="311"/>
    <col min="3592" max="3593" width="9.28515625" style="311" customWidth="1"/>
    <col min="3594" max="3834" width="9.140625" style="311"/>
    <col min="3835" max="3835" width="8" style="311" customWidth="1"/>
    <col min="3836" max="3836" width="62.7109375" style="311" customWidth="1"/>
    <col min="3837" max="3837" width="5.7109375" style="311" customWidth="1"/>
    <col min="3838" max="3838" width="4.28515625" style="311" customWidth="1"/>
    <col min="3839" max="3839" width="8" style="311" customWidth="1"/>
    <col min="3840" max="3840" width="14.5703125" style="311" customWidth="1"/>
    <col min="3841" max="3841" width="8.28515625" style="311" customWidth="1"/>
    <col min="3842" max="3842" width="22" style="311" customWidth="1"/>
    <col min="3843" max="3843" width="21.5703125" style="311" customWidth="1"/>
    <col min="3844" max="3844" width="19.140625" style="311" customWidth="1"/>
    <col min="3845" max="3845" width="9.140625" style="311"/>
    <col min="3846" max="3846" width="8.85546875" style="311" customWidth="1"/>
    <col min="3847" max="3847" width="9.140625" style="311"/>
    <col min="3848" max="3849" width="9.28515625" style="311" customWidth="1"/>
    <col min="3850" max="4090" width="9.140625" style="311"/>
    <col min="4091" max="4091" width="8" style="311" customWidth="1"/>
    <col min="4092" max="4092" width="62.7109375" style="311" customWidth="1"/>
    <col min="4093" max="4093" width="5.7109375" style="311" customWidth="1"/>
    <col min="4094" max="4094" width="4.28515625" style="311" customWidth="1"/>
    <col min="4095" max="4095" width="8" style="311" customWidth="1"/>
    <col min="4096" max="4096" width="14.5703125" style="311" customWidth="1"/>
    <col min="4097" max="4097" width="8.28515625" style="311" customWidth="1"/>
    <col min="4098" max="4098" width="22" style="311" customWidth="1"/>
    <col min="4099" max="4099" width="21.5703125" style="311" customWidth="1"/>
    <col min="4100" max="4100" width="19.140625" style="311" customWidth="1"/>
    <col min="4101" max="4101" width="9.140625" style="311"/>
    <col min="4102" max="4102" width="8.85546875" style="311" customWidth="1"/>
    <col min="4103" max="4103" width="9.140625" style="311"/>
    <col min="4104" max="4105" width="9.28515625" style="311" customWidth="1"/>
    <col min="4106" max="4346" width="9.140625" style="311"/>
    <col min="4347" max="4347" width="8" style="311" customWidth="1"/>
    <col min="4348" max="4348" width="62.7109375" style="311" customWidth="1"/>
    <col min="4349" max="4349" width="5.7109375" style="311" customWidth="1"/>
    <col min="4350" max="4350" width="4.28515625" style="311" customWidth="1"/>
    <col min="4351" max="4351" width="8" style="311" customWidth="1"/>
    <col min="4352" max="4352" width="14.5703125" style="311" customWidth="1"/>
    <col min="4353" max="4353" width="8.28515625" style="311" customWidth="1"/>
    <col min="4354" max="4354" width="22" style="311" customWidth="1"/>
    <col min="4355" max="4355" width="21.5703125" style="311" customWidth="1"/>
    <col min="4356" max="4356" width="19.140625" style="311" customWidth="1"/>
    <col min="4357" max="4357" width="9.140625" style="311"/>
    <col min="4358" max="4358" width="8.85546875" style="311" customWidth="1"/>
    <col min="4359" max="4359" width="9.140625" style="311"/>
    <col min="4360" max="4361" width="9.28515625" style="311" customWidth="1"/>
    <col min="4362" max="4602" width="9.140625" style="311"/>
    <col min="4603" max="4603" width="8" style="311" customWidth="1"/>
    <col min="4604" max="4604" width="62.7109375" style="311" customWidth="1"/>
    <col min="4605" max="4605" width="5.7109375" style="311" customWidth="1"/>
    <col min="4606" max="4606" width="4.28515625" style="311" customWidth="1"/>
    <col min="4607" max="4607" width="8" style="311" customWidth="1"/>
    <col min="4608" max="4608" width="14.5703125" style="311" customWidth="1"/>
    <col min="4609" max="4609" width="8.28515625" style="311" customWidth="1"/>
    <col min="4610" max="4610" width="22" style="311" customWidth="1"/>
    <col min="4611" max="4611" width="21.5703125" style="311" customWidth="1"/>
    <col min="4612" max="4612" width="19.140625" style="311" customWidth="1"/>
    <col min="4613" max="4613" width="9.140625" style="311"/>
    <col min="4614" max="4614" width="8.85546875" style="311" customWidth="1"/>
    <col min="4615" max="4615" width="9.140625" style="311"/>
    <col min="4616" max="4617" width="9.28515625" style="311" customWidth="1"/>
    <col min="4618" max="4858" width="9.140625" style="311"/>
    <col min="4859" max="4859" width="8" style="311" customWidth="1"/>
    <col min="4860" max="4860" width="62.7109375" style="311" customWidth="1"/>
    <col min="4861" max="4861" width="5.7109375" style="311" customWidth="1"/>
    <col min="4862" max="4862" width="4.28515625" style="311" customWidth="1"/>
    <col min="4863" max="4863" width="8" style="311" customWidth="1"/>
    <col min="4864" max="4864" width="14.5703125" style="311" customWidth="1"/>
    <col min="4865" max="4865" width="8.28515625" style="311" customWidth="1"/>
    <col min="4866" max="4866" width="22" style="311" customWidth="1"/>
    <col min="4867" max="4867" width="21.5703125" style="311" customWidth="1"/>
    <col min="4868" max="4868" width="19.140625" style="311" customWidth="1"/>
    <col min="4869" max="4869" width="9.140625" style="311"/>
    <col min="4870" max="4870" width="8.85546875" style="311" customWidth="1"/>
    <col min="4871" max="4871" width="9.140625" style="311"/>
    <col min="4872" max="4873" width="9.28515625" style="311" customWidth="1"/>
    <col min="4874" max="5114" width="9.140625" style="311"/>
    <col min="5115" max="5115" width="8" style="311" customWidth="1"/>
    <col min="5116" max="5116" width="62.7109375" style="311" customWidth="1"/>
    <col min="5117" max="5117" width="5.7109375" style="311" customWidth="1"/>
    <col min="5118" max="5118" width="4.28515625" style="311" customWidth="1"/>
    <col min="5119" max="5119" width="8" style="311" customWidth="1"/>
    <col min="5120" max="5120" width="14.5703125" style="311" customWidth="1"/>
    <col min="5121" max="5121" width="8.28515625" style="311" customWidth="1"/>
    <col min="5122" max="5122" width="22" style="311" customWidth="1"/>
    <col min="5123" max="5123" width="21.5703125" style="311" customWidth="1"/>
    <col min="5124" max="5124" width="19.140625" style="311" customWidth="1"/>
    <col min="5125" max="5125" width="9.140625" style="311"/>
    <col min="5126" max="5126" width="8.85546875" style="311" customWidth="1"/>
    <col min="5127" max="5127" width="9.140625" style="311"/>
    <col min="5128" max="5129" width="9.28515625" style="311" customWidth="1"/>
    <col min="5130" max="5370" width="9.140625" style="311"/>
    <col min="5371" max="5371" width="8" style="311" customWidth="1"/>
    <col min="5372" max="5372" width="62.7109375" style="311" customWidth="1"/>
    <col min="5373" max="5373" width="5.7109375" style="311" customWidth="1"/>
    <col min="5374" max="5374" width="4.28515625" style="311" customWidth="1"/>
    <col min="5375" max="5375" width="8" style="311" customWidth="1"/>
    <col min="5376" max="5376" width="14.5703125" style="311" customWidth="1"/>
    <col min="5377" max="5377" width="8.28515625" style="311" customWidth="1"/>
    <col min="5378" max="5378" width="22" style="311" customWidth="1"/>
    <col min="5379" max="5379" width="21.5703125" style="311" customWidth="1"/>
    <col min="5380" max="5380" width="19.140625" style="311" customWidth="1"/>
    <col min="5381" max="5381" width="9.140625" style="311"/>
    <col min="5382" max="5382" width="8.85546875" style="311" customWidth="1"/>
    <col min="5383" max="5383" width="9.140625" style="311"/>
    <col min="5384" max="5385" width="9.28515625" style="311" customWidth="1"/>
    <col min="5386" max="5626" width="9.140625" style="311"/>
    <col min="5627" max="5627" width="8" style="311" customWidth="1"/>
    <col min="5628" max="5628" width="62.7109375" style="311" customWidth="1"/>
    <col min="5629" max="5629" width="5.7109375" style="311" customWidth="1"/>
    <col min="5630" max="5630" width="4.28515625" style="311" customWidth="1"/>
    <col min="5631" max="5631" width="8" style="311" customWidth="1"/>
    <col min="5632" max="5632" width="14.5703125" style="311" customWidth="1"/>
    <col min="5633" max="5633" width="8.28515625" style="311" customWidth="1"/>
    <col min="5634" max="5634" width="22" style="311" customWidth="1"/>
    <col min="5635" max="5635" width="21.5703125" style="311" customWidth="1"/>
    <col min="5636" max="5636" width="19.140625" style="311" customWidth="1"/>
    <col min="5637" max="5637" width="9.140625" style="311"/>
    <col min="5638" max="5638" width="8.85546875" style="311" customWidth="1"/>
    <col min="5639" max="5639" width="9.140625" style="311"/>
    <col min="5640" max="5641" width="9.28515625" style="311" customWidth="1"/>
    <col min="5642" max="5882" width="9.140625" style="311"/>
    <col min="5883" max="5883" width="8" style="311" customWidth="1"/>
    <col min="5884" max="5884" width="62.7109375" style="311" customWidth="1"/>
    <col min="5885" max="5885" width="5.7109375" style="311" customWidth="1"/>
    <col min="5886" max="5886" width="4.28515625" style="311" customWidth="1"/>
    <col min="5887" max="5887" width="8" style="311" customWidth="1"/>
    <col min="5888" max="5888" width="14.5703125" style="311" customWidth="1"/>
    <col min="5889" max="5889" width="8.28515625" style="311" customWidth="1"/>
    <col min="5890" max="5890" width="22" style="311" customWidth="1"/>
    <col min="5891" max="5891" width="21.5703125" style="311" customWidth="1"/>
    <col min="5892" max="5892" width="19.140625" style="311" customWidth="1"/>
    <col min="5893" max="5893" width="9.140625" style="311"/>
    <col min="5894" max="5894" width="8.85546875" style="311" customWidth="1"/>
    <col min="5895" max="5895" width="9.140625" style="311"/>
    <col min="5896" max="5897" width="9.28515625" style="311" customWidth="1"/>
    <col min="5898" max="6138" width="9.140625" style="311"/>
    <col min="6139" max="6139" width="8" style="311" customWidth="1"/>
    <col min="6140" max="6140" width="62.7109375" style="311" customWidth="1"/>
    <col min="6141" max="6141" width="5.7109375" style="311" customWidth="1"/>
    <col min="6142" max="6142" width="4.28515625" style="311" customWidth="1"/>
    <col min="6143" max="6143" width="8" style="311" customWidth="1"/>
    <col min="6144" max="6144" width="14.5703125" style="311" customWidth="1"/>
    <col min="6145" max="6145" width="8.28515625" style="311" customWidth="1"/>
    <col min="6146" max="6146" width="22" style="311" customWidth="1"/>
    <col min="6147" max="6147" width="21.5703125" style="311" customWidth="1"/>
    <col min="6148" max="6148" width="19.140625" style="311" customWidth="1"/>
    <col min="6149" max="6149" width="9.140625" style="311"/>
    <col min="6150" max="6150" width="8.85546875" style="311" customWidth="1"/>
    <col min="6151" max="6151" width="9.140625" style="311"/>
    <col min="6152" max="6153" width="9.28515625" style="311" customWidth="1"/>
    <col min="6154" max="6394" width="9.140625" style="311"/>
    <col min="6395" max="6395" width="8" style="311" customWidth="1"/>
    <col min="6396" max="6396" width="62.7109375" style="311" customWidth="1"/>
    <col min="6397" max="6397" width="5.7109375" style="311" customWidth="1"/>
    <col min="6398" max="6398" width="4.28515625" style="311" customWidth="1"/>
    <col min="6399" max="6399" width="8" style="311" customWidth="1"/>
    <col min="6400" max="6400" width="14.5703125" style="311" customWidth="1"/>
    <col min="6401" max="6401" width="8.28515625" style="311" customWidth="1"/>
    <col min="6402" max="6402" width="22" style="311" customWidth="1"/>
    <col min="6403" max="6403" width="21.5703125" style="311" customWidth="1"/>
    <col min="6404" max="6404" width="19.140625" style="311" customWidth="1"/>
    <col min="6405" max="6405" width="9.140625" style="311"/>
    <col min="6406" max="6406" width="8.85546875" style="311" customWidth="1"/>
    <col min="6407" max="6407" width="9.140625" style="311"/>
    <col min="6408" max="6409" width="9.28515625" style="311" customWidth="1"/>
    <col min="6410" max="6650" width="9.140625" style="311"/>
    <col min="6651" max="6651" width="8" style="311" customWidth="1"/>
    <col min="6652" max="6652" width="62.7109375" style="311" customWidth="1"/>
    <col min="6653" max="6653" width="5.7109375" style="311" customWidth="1"/>
    <col min="6654" max="6654" width="4.28515625" style="311" customWidth="1"/>
    <col min="6655" max="6655" width="8" style="311" customWidth="1"/>
    <col min="6656" max="6656" width="14.5703125" style="311" customWidth="1"/>
    <col min="6657" max="6657" width="8.28515625" style="311" customWidth="1"/>
    <col min="6658" max="6658" width="22" style="311" customWidth="1"/>
    <col min="6659" max="6659" width="21.5703125" style="311" customWidth="1"/>
    <col min="6660" max="6660" width="19.140625" style="311" customWidth="1"/>
    <col min="6661" max="6661" width="9.140625" style="311"/>
    <col min="6662" max="6662" width="8.85546875" style="311" customWidth="1"/>
    <col min="6663" max="6663" width="9.140625" style="311"/>
    <col min="6664" max="6665" width="9.28515625" style="311" customWidth="1"/>
    <col min="6666" max="6906" width="9.140625" style="311"/>
    <col min="6907" max="6907" width="8" style="311" customWidth="1"/>
    <col min="6908" max="6908" width="62.7109375" style="311" customWidth="1"/>
    <col min="6909" max="6909" width="5.7109375" style="311" customWidth="1"/>
    <col min="6910" max="6910" width="4.28515625" style="311" customWidth="1"/>
    <col min="6911" max="6911" width="8" style="311" customWidth="1"/>
    <col min="6912" max="6912" width="14.5703125" style="311" customWidth="1"/>
    <col min="6913" max="6913" width="8.28515625" style="311" customWidth="1"/>
    <col min="6914" max="6914" width="22" style="311" customWidth="1"/>
    <col min="6915" max="6915" width="21.5703125" style="311" customWidth="1"/>
    <col min="6916" max="6916" width="19.140625" style="311" customWidth="1"/>
    <col min="6917" max="6917" width="9.140625" style="311"/>
    <col min="6918" max="6918" width="8.85546875" style="311" customWidth="1"/>
    <col min="6919" max="6919" width="9.140625" style="311"/>
    <col min="6920" max="6921" width="9.28515625" style="311" customWidth="1"/>
    <col min="6922" max="7162" width="9.140625" style="311"/>
    <col min="7163" max="7163" width="8" style="311" customWidth="1"/>
    <col min="7164" max="7164" width="62.7109375" style="311" customWidth="1"/>
    <col min="7165" max="7165" width="5.7109375" style="311" customWidth="1"/>
    <col min="7166" max="7166" width="4.28515625" style="311" customWidth="1"/>
    <col min="7167" max="7167" width="8" style="311" customWidth="1"/>
    <col min="7168" max="7168" width="14.5703125" style="311" customWidth="1"/>
    <col min="7169" max="7169" width="8.28515625" style="311" customWidth="1"/>
    <col min="7170" max="7170" width="22" style="311" customWidth="1"/>
    <col min="7171" max="7171" width="21.5703125" style="311" customWidth="1"/>
    <col min="7172" max="7172" width="19.140625" style="311" customWidth="1"/>
    <col min="7173" max="7173" width="9.140625" style="311"/>
    <col min="7174" max="7174" width="8.85546875" style="311" customWidth="1"/>
    <col min="7175" max="7175" width="9.140625" style="311"/>
    <col min="7176" max="7177" width="9.28515625" style="311" customWidth="1"/>
    <col min="7178" max="7418" width="9.140625" style="311"/>
    <col min="7419" max="7419" width="8" style="311" customWidth="1"/>
    <col min="7420" max="7420" width="62.7109375" style="311" customWidth="1"/>
    <col min="7421" max="7421" width="5.7109375" style="311" customWidth="1"/>
    <col min="7422" max="7422" width="4.28515625" style="311" customWidth="1"/>
    <col min="7423" max="7423" width="8" style="311" customWidth="1"/>
    <col min="7424" max="7424" width="14.5703125" style="311" customWidth="1"/>
    <col min="7425" max="7425" width="8.28515625" style="311" customWidth="1"/>
    <col min="7426" max="7426" width="22" style="311" customWidth="1"/>
    <col min="7427" max="7427" width="21.5703125" style="311" customWidth="1"/>
    <col min="7428" max="7428" width="19.140625" style="311" customWidth="1"/>
    <col min="7429" max="7429" width="9.140625" style="311"/>
    <col min="7430" max="7430" width="8.85546875" style="311" customWidth="1"/>
    <col min="7431" max="7431" width="9.140625" style="311"/>
    <col min="7432" max="7433" width="9.28515625" style="311" customWidth="1"/>
    <col min="7434" max="7674" width="9.140625" style="311"/>
    <col min="7675" max="7675" width="8" style="311" customWidth="1"/>
    <col min="7676" max="7676" width="62.7109375" style="311" customWidth="1"/>
    <col min="7677" max="7677" width="5.7109375" style="311" customWidth="1"/>
    <col min="7678" max="7678" width="4.28515625" style="311" customWidth="1"/>
    <col min="7679" max="7679" width="8" style="311" customWidth="1"/>
    <col min="7680" max="7680" width="14.5703125" style="311" customWidth="1"/>
    <col min="7681" max="7681" width="8.28515625" style="311" customWidth="1"/>
    <col min="7682" max="7682" width="22" style="311" customWidth="1"/>
    <col min="7683" max="7683" width="21.5703125" style="311" customWidth="1"/>
    <col min="7684" max="7684" width="19.140625" style="311" customWidth="1"/>
    <col min="7685" max="7685" width="9.140625" style="311"/>
    <col min="7686" max="7686" width="8.85546875" style="311" customWidth="1"/>
    <col min="7687" max="7687" width="9.140625" style="311"/>
    <col min="7688" max="7689" width="9.28515625" style="311" customWidth="1"/>
    <col min="7690" max="7930" width="9.140625" style="311"/>
    <col min="7931" max="7931" width="8" style="311" customWidth="1"/>
    <col min="7932" max="7932" width="62.7109375" style="311" customWidth="1"/>
    <col min="7933" max="7933" width="5.7109375" style="311" customWidth="1"/>
    <col min="7934" max="7934" width="4.28515625" style="311" customWidth="1"/>
    <col min="7935" max="7935" width="8" style="311" customWidth="1"/>
    <col min="7936" max="7936" width="14.5703125" style="311" customWidth="1"/>
    <col min="7937" max="7937" width="8.28515625" style="311" customWidth="1"/>
    <col min="7938" max="7938" width="22" style="311" customWidth="1"/>
    <col min="7939" max="7939" width="21.5703125" style="311" customWidth="1"/>
    <col min="7940" max="7940" width="19.140625" style="311" customWidth="1"/>
    <col min="7941" max="7941" width="9.140625" style="311"/>
    <col min="7942" max="7942" width="8.85546875" style="311" customWidth="1"/>
    <col min="7943" max="7943" width="9.140625" style="311"/>
    <col min="7944" max="7945" width="9.28515625" style="311" customWidth="1"/>
    <col min="7946" max="8186" width="9.140625" style="311"/>
    <col min="8187" max="8187" width="8" style="311" customWidth="1"/>
    <col min="8188" max="8188" width="62.7109375" style="311" customWidth="1"/>
    <col min="8189" max="8189" width="5.7109375" style="311" customWidth="1"/>
    <col min="8190" max="8190" width="4.28515625" style="311" customWidth="1"/>
    <col min="8191" max="8191" width="8" style="311" customWidth="1"/>
    <col min="8192" max="8192" width="14.5703125" style="311" customWidth="1"/>
    <col min="8193" max="8193" width="8.28515625" style="311" customWidth="1"/>
    <col min="8194" max="8194" width="22" style="311" customWidth="1"/>
    <col min="8195" max="8195" width="21.5703125" style="311" customWidth="1"/>
    <col min="8196" max="8196" width="19.140625" style="311" customWidth="1"/>
    <col min="8197" max="8197" width="9.140625" style="311"/>
    <col min="8198" max="8198" width="8.85546875" style="311" customWidth="1"/>
    <col min="8199" max="8199" width="9.140625" style="311"/>
    <col min="8200" max="8201" width="9.28515625" style="311" customWidth="1"/>
    <col min="8202" max="8442" width="9.140625" style="311"/>
    <col min="8443" max="8443" width="8" style="311" customWidth="1"/>
    <col min="8444" max="8444" width="62.7109375" style="311" customWidth="1"/>
    <col min="8445" max="8445" width="5.7109375" style="311" customWidth="1"/>
    <col min="8446" max="8446" width="4.28515625" style="311" customWidth="1"/>
    <col min="8447" max="8447" width="8" style="311" customWidth="1"/>
    <col min="8448" max="8448" width="14.5703125" style="311" customWidth="1"/>
    <col min="8449" max="8449" width="8.28515625" style="311" customWidth="1"/>
    <col min="8450" max="8450" width="22" style="311" customWidth="1"/>
    <col min="8451" max="8451" width="21.5703125" style="311" customWidth="1"/>
    <col min="8452" max="8452" width="19.140625" style="311" customWidth="1"/>
    <col min="8453" max="8453" width="9.140625" style="311"/>
    <col min="8454" max="8454" width="8.85546875" style="311" customWidth="1"/>
    <col min="8455" max="8455" width="9.140625" style="311"/>
    <col min="8456" max="8457" width="9.28515625" style="311" customWidth="1"/>
    <col min="8458" max="8698" width="9.140625" style="311"/>
    <col min="8699" max="8699" width="8" style="311" customWidth="1"/>
    <col min="8700" max="8700" width="62.7109375" style="311" customWidth="1"/>
    <col min="8701" max="8701" width="5.7109375" style="311" customWidth="1"/>
    <col min="8702" max="8702" width="4.28515625" style="311" customWidth="1"/>
    <col min="8703" max="8703" width="8" style="311" customWidth="1"/>
    <col min="8704" max="8704" width="14.5703125" style="311" customWidth="1"/>
    <col min="8705" max="8705" width="8.28515625" style="311" customWidth="1"/>
    <col min="8706" max="8706" width="22" style="311" customWidth="1"/>
    <col min="8707" max="8707" width="21.5703125" style="311" customWidth="1"/>
    <col min="8708" max="8708" width="19.140625" style="311" customWidth="1"/>
    <col min="8709" max="8709" width="9.140625" style="311"/>
    <col min="8710" max="8710" width="8.85546875" style="311" customWidth="1"/>
    <col min="8711" max="8711" width="9.140625" style="311"/>
    <col min="8712" max="8713" width="9.28515625" style="311" customWidth="1"/>
    <col min="8714" max="8954" width="9.140625" style="311"/>
    <col min="8955" max="8955" width="8" style="311" customWidth="1"/>
    <col min="8956" max="8956" width="62.7109375" style="311" customWidth="1"/>
    <col min="8957" max="8957" width="5.7109375" style="311" customWidth="1"/>
    <col min="8958" max="8958" width="4.28515625" style="311" customWidth="1"/>
    <col min="8959" max="8959" width="8" style="311" customWidth="1"/>
    <col min="8960" max="8960" width="14.5703125" style="311" customWidth="1"/>
    <col min="8961" max="8961" width="8.28515625" style="311" customWidth="1"/>
    <col min="8962" max="8962" width="22" style="311" customWidth="1"/>
    <col min="8963" max="8963" width="21.5703125" style="311" customWidth="1"/>
    <col min="8964" max="8964" width="19.140625" style="311" customWidth="1"/>
    <col min="8965" max="8965" width="9.140625" style="311"/>
    <col min="8966" max="8966" width="8.85546875" style="311" customWidth="1"/>
    <col min="8967" max="8967" width="9.140625" style="311"/>
    <col min="8968" max="8969" width="9.28515625" style="311" customWidth="1"/>
    <col min="8970" max="9210" width="9.140625" style="311"/>
    <col min="9211" max="9211" width="8" style="311" customWidth="1"/>
    <col min="9212" max="9212" width="62.7109375" style="311" customWidth="1"/>
    <col min="9213" max="9213" width="5.7109375" style="311" customWidth="1"/>
    <col min="9214" max="9214" width="4.28515625" style="311" customWidth="1"/>
    <col min="9215" max="9215" width="8" style="311" customWidth="1"/>
    <col min="9216" max="9216" width="14.5703125" style="311" customWidth="1"/>
    <col min="9217" max="9217" width="8.28515625" style="311" customWidth="1"/>
    <col min="9218" max="9218" width="22" style="311" customWidth="1"/>
    <col min="9219" max="9219" width="21.5703125" style="311" customWidth="1"/>
    <col min="9220" max="9220" width="19.140625" style="311" customWidth="1"/>
    <col min="9221" max="9221" width="9.140625" style="311"/>
    <col min="9222" max="9222" width="8.85546875" style="311" customWidth="1"/>
    <col min="9223" max="9223" width="9.140625" style="311"/>
    <col min="9224" max="9225" width="9.28515625" style="311" customWidth="1"/>
    <col min="9226" max="9466" width="9.140625" style="311"/>
    <col min="9467" max="9467" width="8" style="311" customWidth="1"/>
    <col min="9468" max="9468" width="62.7109375" style="311" customWidth="1"/>
    <col min="9469" max="9469" width="5.7109375" style="311" customWidth="1"/>
    <col min="9470" max="9470" width="4.28515625" style="311" customWidth="1"/>
    <col min="9471" max="9471" width="8" style="311" customWidth="1"/>
    <col min="9472" max="9472" width="14.5703125" style="311" customWidth="1"/>
    <col min="9473" max="9473" width="8.28515625" style="311" customWidth="1"/>
    <col min="9474" max="9474" width="22" style="311" customWidth="1"/>
    <col min="9475" max="9475" width="21.5703125" style="311" customWidth="1"/>
    <col min="9476" max="9476" width="19.140625" style="311" customWidth="1"/>
    <col min="9477" max="9477" width="9.140625" style="311"/>
    <col min="9478" max="9478" width="8.85546875" style="311" customWidth="1"/>
    <col min="9479" max="9479" width="9.140625" style="311"/>
    <col min="9480" max="9481" width="9.28515625" style="311" customWidth="1"/>
    <col min="9482" max="9722" width="9.140625" style="311"/>
    <col min="9723" max="9723" width="8" style="311" customWidth="1"/>
    <col min="9724" max="9724" width="62.7109375" style="311" customWidth="1"/>
    <col min="9725" max="9725" width="5.7109375" style="311" customWidth="1"/>
    <col min="9726" max="9726" width="4.28515625" style="311" customWidth="1"/>
    <col min="9727" max="9727" width="8" style="311" customWidth="1"/>
    <col min="9728" max="9728" width="14.5703125" style="311" customWidth="1"/>
    <col min="9729" max="9729" width="8.28515625" style="311" customWidth="1"/>
    <col min="9730" max="9730" width="22" style="311" customWidth="1"/>
    <col min="9731" max="9731" width="21.5703125" style="311" customWidth="1"/>
    <col min="9732" max="9732" width="19.140625" style="311" customWidth="1"/>
    <col min="9733" max="9733" width="9.140625" style="311"/>
    <col min="9734" max="9734" width="8.85546875" style="311" customWidth="1"/>
    <col min="9735" max="9735" width="9.140625" style="311"/>
    <col min="9736" max="9737" width="9.28515625" style="311" customWidth="1"/>
    <col min="9738" max="9978" width="9.140625" style="311"/>
    <col min="9979" max="9979" width="8" style="311" customWidth="1"/>
    <col min="9980" max="9980" width="62.7109375" style="311" customWidth="1"/>
    <col min="9981" max="9981" width="5.7109375" style="311" customWidth="1"/>
    <col min="9982" max="9982" width="4.28515625" style="311" customWidth="1"/>
    <col min="9983" max="9983" width="8" style="311" customWidth="1"/>
    <col min="9984" max="9984" width="14.5703125" style="311" customWidth="1"/>
    <col min="9985" max="9985" width="8.28515625" style="311" customWidth="1"/>
    <col min="9986" max="9986" width="22" style="311" customWidth="1"/>
    <col min="9987" max="9987" width="21.5703125" style="311" customWidth="1"/>
    <col min="9988" max="9988" width="19.140625" style="311" customWidth="1"/>
    <col min="9989" max="9989" width="9.140625" style="311"/>
    <col min="9990" max="9990" width="8.85546875" style="311" customWidth="1"/>
    <col min="9991" max="9991" width="9.140625" style="311"/>
    <col min="9992" max="9993" width="9.28515625" style="311" customWidth="1"/>
    <col min="9994" max="10234" width="9.140625" style="311"/>
    <col min="10235" max="10235" width="8" style="311" customWidth="1"/>
    <col min="10236" max="10236" width="62.7109375" style="311" customWidth="1"/>
    <col min="10237" max="10237" width="5.7109375" style="311" customWidth="1"/>
    <col min="10238" max="10238" width="4.28515625" style="311" customWidth="1"/>
    <col min="10239" max="10239" width="8" style="311" customWidth="1"/>
    <col min="10240" max="10240" width="14.5703125" style="311" customWidth="1"/>
    <col min="10241" max="10241" width="8.28515625" style="311" customWidth="1"/>
    <col min="10242" max="10242" width="22" style="311" customWidth="1"/>
    <col min="10243" max="10243" width="21.5703125" style="311" customWidth="1"/>
    <col min="10244" max="10244" width="19.140625" style="311" customWidth="1"/>
    <col min="10245" max="10245" width="9.140625" style="311"/>
    <col min="10246" max="10246" width="8.85546875" style="311" customWidth="1"/>
    <col min="10247" max="10247" width="9.140625" style="311"/>
    <col min="10248" max="10249" width="9.28515625" style="311" customWidth="1"/>
    <col min="10250" max="10490" width="9.140625" style="311"/>
    <col min="10491" max="10491" width="8" style="311" customWidth="1"/>
    <col min="10492" max="10492" width="62.7109375" style="311" customWidth="1"/>
    <col min="10493" max="10493" width="5.7109375" style="311" customWidth="1"/>
    <col min="10494" max="10494" width="4.28515625" style="311" customWidth="1"/>
    <col min="10495" max="10495" width="8" style="311" customWidth="1"/>
    <col min="10496" max="10496" width="14.5703125" style="311" customWidth="1"/>
    <col min="10497" max="10497" width="8.28515625" style="311" customWidth="1"/>
    <col min="10498" max="10498" width="22" style="311" customWidth="1"/>
    <col min="10499" max="10499" width="21.5703125" style="311" customWidth="1"/>
    <col min="10500" max="10500" width="19.140625" style="311" customWidth="1"/>
    <col min="10501" max="10501" width="9.140625" style="311"/>
    <col min="10502" max="10502" width="8.85546875" style="311" customWidth="1"/>
    <col min="10503" max="10503" width="9.140625" style="311"/>
    <col min="10504" max="10505" width="9.28515625" style="311" customWidth="1"/>
    <col min="10506" max="10746" width="9.140625" style="311"/>
    <col min="10747" max="10747" width="8" style="311" customWidth="1"/>
    <col min="10748" max="10748" width="62.7109375" style="311" customWidth="1"/>
    <col min="10749" max="10749" width="5.7109375" style="311" customWidth="1"/>
    <col min="10750" max="10750" width="4.28515625" style="311" customWidth="1"/>
    <col min="10751" max="10751" width="8" style="311" customWidth="1"/>
    <col min="10752" max="10752" width="14.5703125" style="311" customWidth="1"/>
    <col min="10753" max="10753" width="8.28515625" style="311" customWidth="1"/>
    <col min="10754" max="10754" width="22" style="311" customWidth="1"/>
    <col min="10755" max="10755" width="21.5703125" style="311" customWidth="1"/>
    <col min="10756" max="10756" width="19.140625" style="311" customWidth="1"/>
    <col min="10757" max="10757" width="9.140625" style="311"/>
    <col min="10758" max="10758" width="8.85546875" style="311" customWidth="1"/>
    <col min="10759" max="10759" width="9.140625" style="311"/>
    <col min="10760" max="10761" width="9.28515625" style="311" customWidth="1"/>
    <col min="10762" max="11002" width="9.140625" style="311"/>
    <col min="11003" max="11003" width="8" style="311" customWidth="1"/>
    <col min="11004" max="11004" width="62.7109375" style="311" customWidth="1"/>
    <col min="11005" max="11005" width="5.7109375" style="311" customWidth="1"/>
    <col min="11006" max="11006" width="4.28515625" style="311" customWidth="1"/>
    <col min="11007" max="11007" width="8" style="311" customWidth="1"/>
    <col min="11008" max="11008" width="14.5703125" style="311" customWidth="1"/>
    <col min="11009" max="11009" width="8.28515625" style="311" customWidth="1"/>
    <col min="11010" max="11010" width="22" style="311" customWidth="1"/>
    <col min="11011" max="11011" width="21.5703125" style="311" customWidth="1"/>
    <col min="11012" max="11012" width="19.140625" style="311" customWidth="1"/>
    <col min="11013" max="11013" width="9.140625" style="311"/>
    <col min="11014" max="11014" width="8.85546875" style="311" customWidth="1"/>
    <col min="11015" max="11015" width="9.140625" style="311"/>
    <col min="11016" max="11017" width="9.28515625" style="311" customWidth="1"/>
    <col min="11018" max="11258" width="9.140625" style="311"/>
    <col min="11259" max="11259" width="8" style="311" customWidth="1"/>
    <col min="11260" max="11260" width="62.7109375" style="311" customWidth="1"/>
    <col min="11261" max="11261" width="5.7109375" style="311" customWidth="1"/>
    <col min="11262" max="11262" width="4.28515625" style="311" customWidth="1"/>
    <col min="11263" max="11263" width="8" style="311" customWidth="1"/>
    <col min="11264" max="11264" width="14.5703125" style="311" customWidth="1"/>
    <col min="11265" max="11265" width="8.28515625" style="311" customWidth="1"/>
    <col min="11266" max="11266" width="22" style="311" customWidth="1"/>
    <col min="11267" max="11267" width="21.5703125" style="311" customWidth="1"/>
    <col min="11268" max="11268" width="19.140625" style="311" customWidth="1"/>
    <col min="11269" max="11269" width="9.140625" style="311"/>
    <col min="11270" max="11270" width="8.85546875" style="311" customWidth="1"/>
    <col min="11271" max="11271" width="9.140625" style="311"/>
    <col min="11272" max="11273" width="9.28515625" style="311" customWidth="1"/>
    <col min="11274" max="11514" width="9.140625" style="311"/>
    <col min="11515" max="11515" width="8" style="311" customWidth="1"/>
    <col min="11516" max="11516" width="62.7109375" style="311" customWidth="1"/>
    <col min="11517" max="11517" width="5.7109375" style="311" customWidth="1"/>
    <col min="11518" max="11518" width="4.28515625" style="311" customWidth="1"/>
    <col min="11519" max="11519" width="8" style="311" customWidth="1"/>
    <col min="11520" max="11520" width="14.5703125" style="311" customWidth="1"/>
    <col min="11521" max="11521" width="8.28515625" style="311" customWidth="1"/>
    <col min="11522" max="11522" width="22" style="311" customWidth="1"/>
    <col min="11523" max="11523" width="21.5703125" style="311" customWidth="1"/>
    <col min="11524" max="11524" width="19.140625" style="311" customWidth="1"/>
    <col min="11525" max="11525" width="9.140625" style="311"/>
    <col min="11526" max="11526" width="8.85546875" style="311" customWidth="1"/>
    <col min="11527" max="11527" width="9.140625" style="311"/>
    <col min="11528" max="11529" width="9.28515625" style="311" customWidth="1"/>
    <col min="11530" max="11770" width="9.140625" style="311"/>
    <col min="11771" max="11771" width="8" style="311" customWidth="1"/>
    <col min="11772" max="11772" width="62.7109375" style="311" customWidth="1"/>
    <col min="11773" max="11773" width="5.7109375" style="311" customWidth="1"/>
    <col min="11774" max="11774" width="4.28515625" style="311" customWidth="1"/>
    <col min="11775" max="11775" width="8" style="311" customWidth="1"/>
    <col min="11776" max="11776" width="14.5703125" style="311" customWidth="1"/>
    <col min="11777" max="11777" width="8.28515625" style="311" customWidth="1"/>
    <col min="11778" max="11778" width="22" style="311" customWidth="1"/>
    <col min="11779" max="11779" width="21.5703125" style="311" customWidth="1"/>
    <col min="11780" max="11780" width="19.140625" style="311" customWidth="1"/>
    <col min="11781" max="11781" width="9.140625" style="311"/>
    <col min="11782" max="11782" width="8.85546875" style="311" customWidth="1"/>
    <col min="11783" max="11783" width="9.140625" style="311"/>
    <col min="11784" max="11785" width="9.28515625" style="311" customWidth="1"/>
    <col min="11786" max="12026" width="9.140625" style="311"/>
    <col min="12027" max="12027" width="8" style="311" customWidth="1"/>
    <col min="12028" max="12028" width="62.7109375" style="311" customWidth="1"/>
    <col min="12029" max="12029" width="5.7109375" style="311" customWidth="1"/>
    <col min="12030" max="12030" width="4.28515625" style="311" customWidth="1"/>
    <col min="12031" max="12031" width="8" style="311" customWidth="1"/>
    <col min="12032" max="12032" width="14.5703125" style="311" customWidth="1"/>
    <col min="12033" max="12033" width="8.28515625" style="311" customWidth="1"/>
    <col min="12034" max="12034" width="22" style="311" customWidth="1"/>
    <col min="12035" max="12035" width="21.5703125" style="311" customWidth="1"/>
    <col min="12036" max="12036" width="19.140625" style="311" customWidth="1"/>
    <col min="12037" max="12037" width="9.140625" style="311"/>
    <col min="12038" max="12038" width="8.85546875" style="311" customWidth="1"/>
    <col min="12039" max="12039" width="9.140625" style="311"/>
    <col min="12040" max="12041" width="9.28515625" style="311" customWidth="1"/>
    <col min="12042" max="12282" width="9.140625" style="311"/>
    <col min="12283" max="12283" width="8" style="311" customWidth="1"/>
    <col min="12284" max="12284" width="62.7109375" style="311" customWidth="1"/>
    <col min="12285" max="12285" width="5.7109375" style="311" customWidth="1"/>
    <col min="12286" max="12286" width="4.28515625" style="311" customWidth="1"/>
    <col min="12287" max="12287" width="8" style="311" customWidth="1"/>
    <col min="12288" max="12288" width="14.5703125" style="311" customWidth="1"/>
    <col min="12289" max="12289" width="8.28515625" style="311" customWidth="1"/>
    <col min="12290" max="12290" width="22" style="311" customWidth="1"/>
    <col min="12291" max="12291" width="21.5703125" style="311" customWidth="1"/>
    <col min="12292" max="12292" width="19.140625" style="311" customWidth="1"/>
    <col min="12293" max="12293" width="9.140625" style="311"/>
    <col min="12294" max="12294" width="8.85546875" style="311" customWidth="1"/>
    <col min="12295" max="12295" width="9.140625" style="311"/>
    <col min="12296" max="12297" width="9.28515625" style="311" customWidth="1"/>
    <col min="12298" max="12538" width="9.140625" style="311"/>
    <col min="12539" max="12539" width="8" style="311" customWidth="1"/>
    <col min="12540" max="12540" width="62.7109375" style="311" customWidth="1"/>
    <col min="12541" max="12541" width="5.7109375" style="311" customWidth="1"/>
    <col min="12542" max="12542" width="4.28515625" style="311" customWidth="1"/>
    <col min="12543" max="12543" width="8" style="311" customWidth="1"/>
    <col min="12544" max="12544" width="14.5703125" style="311" customWidth="1"/>
    <col min="12545" max="12545" width="8.28515625" style="311" customWidth="1"/>
    <col min="12546" max="12546" width="22" style="311" customWidth="1"/>
    <col min="12547" max="12547" width="21.5703125" style="311" customWidth="1"/>
    <col min="12548" max="12548" width="19.140625" style="311" customWidth="1"/>
    <col min="12549" max="12549" width="9.140625" style="311"/>
    <col min="12550" max="12550" width="8.85546875" style="311" customWidth="1"/>
    <col min="12551" max="12551" width="9.140625" style="311"/>
    <col min="12552" max="12553" width="9.28515625" style="311" customWidth="1"/>
    <col min="12554" max="12794" width="9.140625" style="311"/>
    <col min="12795" max="12795" width="8" style="311" customWidth="1"/>
    <col min="12796" max="12796" width="62.7109375" style="311" customWidth="1"/>
    <col min="12797" max="12797" width="5.7109375" style="311" customWidth="1"/>
    <col min="12798" max="12798" width="4.28515625" style="311" customWidth="1"/>
    <col min="12799" max="12799" width="8" style="311" customWidth="1"/>
    <col min="12800" max="12800" width="14.5703125" style="311" customWidth="1"/>
    <col min="12801" max="12801" width="8.28515625" style="311" customWidth="1"/>
    <col min="12802" max="12802" width="22" style="311" customWidth="1"/>
    <col min="12803" max="12803" width="21.5703125" style="311" customWidth="1"/>
    <col min="12804" max="12804" width="19.140625" style="311" customWidth="1"/>
    <col min="12805" max="12805" width="9.140625" style="311"/>
    <col min="12806" max="12806" width="8.85546875" style="311" customWidth="1"/>
    <col min="12807" max="12807" width="9.140625" style="311"/>
    <col min="12808" max="12809" width="9.28515625" style="311" customWidth="1"/>
    <col min="12810" max="13050" width="9.140625" style="311"/>
    <col min="13051" max="13051" width="8" style="311" customWidth="1"/>
    <col min="13052" max="13052" width="62.7109375" style="311" customWidth="1"/>
    <col min="13053" max="13053" width="5.7109375" style="311" customWidth="1"/>
    <col min="13054" max="13054" width="4.28515625" style="311" customWidth="1"/>
    <col min="13055" max="13055" width="8" style="311" customWidth="1"/>
    <col min="13056" max="13056" width="14.5703125" style="311" customWidth="1"/>
    <col min="13057" max="13057" width="8.28515625" style="311" customWidth="1"/>
    <col min="13058" max="13058" width="22" style="311" customWidth="1"/>
    <col min="13059" max="13059" width="21.5703125" style="311" customWidth="1"/>
    <col min="13060" max="13060" width="19.140625" style="311" customWidth="1"/>
    <col min="13061" max="13061" width="9.140625" style="311"/>
    <col min="13062" max="13062" width="8.85546875" style="311" customWidth="1"/>
    <col min="13063" max="13063" width="9.140625" style="311"/>
    <col min="13064" max="13065" width="9.28515625" style="311" customWidth="1"/>
    <col min="13066" max="13306" width="9.140625" style="311"/>
    <col min="13307" max="13307" width="8" style="311" customWidth="1"/>
    <col min="13308" max="13308" width="62.7109375" style="311" customWidth="1"/>
    <col min="13309" max="13309" width="5.7109375" style="311" customWidth="1"/>
    <col min="13310" max="13310" width="4.28515625" style="311" customWidth="1"/>
    <col min="13311" max="13311" width="8" style="311" customWidth="1"/>
    <col min="13312" max="13312" width="14.5703125" style="311" customWidth="1"/>
    <col min="13313" max="13313" width="8.28515625" style="311" customWidth="1"/>
    <col min="13314" max="13314" width="22" style="311" customWidth="1"/>
    <col min="13315" max="13315" width="21.5703125" style="311" customWidth="1"/>
    <col min="13316" max="13316" width="19.140625" style="311" customWidth="1"/>
    <col min="13317" max="13317" width="9.140625" style="311"/>
    <col min="13318" max="13318" width="8.85546875" style="311" customWidth="1"/>
    <col min="13319" max="13319" width="9.140625" style="311"/>
    <col min="13320" max="13321" width="9.28515625" style="311" customWidth="1"/>
    <col min="13322" max="13562" width="9.140625" style="311"/>
    <col min="13563" max="13563" width="8" style="311" customWidth="1"/>
    <col min="13564" max="13564" width="62.7109375" style="311" customWidth="1"/>
    <col min="13565" max="13565" width="5.7109375" style="311" customWidth="1"/>
    <col min="13566" max="13566" width="4.28515625" style="311" customWidth="1"/>
    <col min="13567" max="13567" width="8" style="311" customWidth="1"/>
    <col min="13568" max="13568" width="14.5703125" style="311" customWidth="1"/>
    <col min="13569" max="13569" width="8.28515625" style="311" customWidth="1"/>
    <col min="13570" max="13570" width="22" style="311" customWidth="1"/>
    <col min="13571" max="13571" width="21.5703125" style="311" customWidth="1"/>
    <col min="13572" max="13572" width="19.140625" style="311" customWidth="1"/>
    <col min="13573" max="13573" width="9.140625" style="311"/>
    <col min="13574" max="13574" width="8.85546875" style="311" customWidth="1"/>
    <col min="13575" max="13575" width="9.140625" style="311"/>
    <col min="13576" max="13577" width="9.28515625" style="311" customWidth="1"/>
    <col min="13578" max="13818" width="9.140625" style="311"/>
    <col min="13819" max="13819" width="8" style="311" customWidth="1"/>
    <col min="13820" max="13820" width="62.7109375" style="311" customWidth="1"/>
    <col min="13821" max="13821" width="5.7109375" style="311" customWidth="1"/>
    <col min="13822" max="13822" width="4.28515625" style="311" customWidth="1"/>
    <col min="13823" max="13823" width="8" style="311" customWidth="1"/>
    <col min="13824" max="13824" width="14.5703125" style="311" customWidth="1"/>
    <col min="13825" max="13825" width="8.28515625" style="311" customWidth="1"/>
    <col min="13826" max="13826" width="22" style="311" customWidth="1"/>
    <col min="13827" max="13827" width="21.5703125" style="311" customWidth="1"/>
    <col min="13828" max="13828" width="19.140625" style="311" customWidth="1"/>
    <col min="13829" max="13829" width="9.140625" style="311"/>
    <col min="13830" max="13830" width="8.85546875" style="311" customWidth="1"/>
    <col min="13831" max="13831" width="9.140625" style="311"/>
    <col min="13832" max="13833" width="9.28515625" style="311" customWidth="1"/>
    <col min="13834" max="14074" width="9.140625" style="311"/>
    <col min="14075" max="14075" width="8" style="311" customWidth="1"/>
    <col min="14076" max="14076" width="62.7109375" style="311" customWidth="1"/>
    <col min="14077" max="14077" width="5.7109375" style="311" customWidth="1"/>
    <col min="14078" max="14078" width="4.28515625" style="311" customWidth="1"/>
    <col min="14079" max="14079" width="8" style="311" customWidth="1"/>
    <col min="14080" max="14080" width="14.5703125" style="311" customWidth="1"/>
    <col min="14081" max="14081" width="8.28515625" style="311" customWidth="1"/>
    <col min="14082" max="14082" width="22" style="311" customWidth="1"/>
    <col min="14083" max="14083" width="21.5703125" style="311" customWidth="1"/>
    <col min="14084" max="14084" width="19.140625" style="311" customWidth="1"/>
    <col min="14085" max="14085" width="9.140625" style="311"/>
    <col min="14086" max="14086" width="8.85546875" style="311" customWidth="1"/>
    <col min="14087" max="14087" width="9.140625" style="311"/>
    <col min="14088" max="14089" width="9.28515625" style="311" customWidth="1"/>
    <col min="14090" max="14330" width="9.140625" style="311"/>
    <col min="14331" max="14331" width="8" style="311" customWidth="1"/>
    <col min="14332" max="14332" width="62.7109375" style="311" customWidth="1"/>
    <col min="14333" max="14333" width="5.7109375" style="311" customWidth="1"/>
    <col min="14334" max="14334" width="4.28515625" style="311" customWidth="1"/>
    <col min="14335" max="14335" width="8" style="311" customWidth="1"/>
    <col min="14336" max="14336" width="14.5703125" style="311" customWidth="1"/>
    <col min="14337" max="14337" width="8.28515625" style="311" customWidth="1"/>
    <col min="14338" max="14338" width="22" style="311" customWidth="1"/>
    <col min="14339" max="14339" width="21.5703125" style="311" customWidth="1"/>
    <col min="14340" max="14340" width="19.140625" style="311" customWidth="1"/>
    <col min="14341" max="14341" width="9.140625" style="311"/>
    <col min="14342" max="14342" width="8.85546875" style="311" customWidth="1"/>
    <col min="14343" max="14343" width="9.140625" style="311"/>
    <col min="14344" max="14345" width="9.28515625" style="311" customWidth="1"/>
    <col min="14346" max="14586" width="9.140625" style="311"/>
    <col min="14587" max="14587" width="8" style="311" customWidth="1"/>
    <col min="14588" max="14588" width="62.7109375" style="311" customWidth="1"/>
    <col min="14589" max="14589" width="5.7109375" style="311" customWidth="1"/>
    <col min="14590" max="14590" width="4.28515625" style="311" customWidth="1"/>
    <col min="14591" max="14591" width="8" style="311" customWidth="1"/>
    <col min="14592" max="14592" width="14.5703125" style="311" customWidth="1"/>
    <col min="14593" max="14593" width="8.28515625" style="311" customWidth="1"/>
    <col min="14594" max="14594" width="22" style="311" customWidth="1"/>
    <col min="14595" max="14595" width="21.5703125" style="311" customWidth="1"/>
    <col min="14596" max="14596" width="19.140625" style="311" customWidth="1"/>
    <col min="14597" max="14597" width="9.140625" style="311"/>
    <col min="14598" max="14598" width="8.85546875" style="311" customWidth="1"/>
    <col min="14599" max="14599" width="9.140625" style="311"/>
    <col min="14600" max="14601" width="9.28515625" style="311" customWidth="1"/>
    <col min="14602" max="14842" width="9.140625" style="311"/>
    <col min="14843" max="14843" width="8" style="311" customWidth="1"/>
    <col min="14844" max="14844" width="62.7109375" style="311" customWidth="1"/>
    <col min="14845" max="14845" width="5.7109375" style="311" customWidth="1"/>
    <col min="14846" max="14846" width="4.28515625" style="311" customWidth="1"/>
    <col min="14847" max="14847" width="8" style="311" customWidth="1"/>
    <col min="14848" max="14848" width="14.5703125" style="311" customWidth="1"/>
    <col min="14849" max="14849" width="8.28515625" style="311" customWidth="1"/>
    <col min="14850" max="14850" width="22" style="311" customWidth="1"/>
    <col min="14851" max="14851" width="21.5703125" style="311" customWidth="1"/>
    <col min="14852" max="14852" width="19.140625" style="311" customWidth="1"/>
    <col min="14853" max="14853" width="9.140625" style="311"/>
    <col min="14854" max="14854" width="8.85546875" style="311" customWidth="1"/>
    <col min="14855" max="14855" width="9.140625" style="311"/>
    <col min="14856" max="14857" width="9.28515625" style="311" customWidth="1"/>
    <col min="14858" max="15098" width="9.140625" style="311"/>
    <col min="15099" max="15099" width="8" style="311" customWidth="1"/>
    <col min="15100" max="15100" width="62.7109375" style="311" customWidth="1"/>
    <col min="15101" max="15101" width="5.7109375" style="311" customWidth="1"/>
    <col min="15102" max="15102" width="4.28515625" style="311" customWidth="1"/>
    <col min="15103" max="15103" width="8" style="311" customWidth="1"/>
    <col min="15104" max="15104" width="14.5703125" style="311" customWidth="1"/>
    <col min="15105" max="15105" width="8.28515625" style="311" customWidth="1"/>
    <col min="15106" max="15106" width="22" style="311" customWidth="1"/>
    <col min="15107" max="15107" width="21.5703125" style="311" customWidth="1"/>
    <col min="15108" max="15108" width="19.140625" style="311" customWidth="1"/>
    <col min="15109" max="15109" width="9.140625" style="311"/>
    <col min="15110" max="15110" width="8.85546875" style="311" customWidth="1"/>
    <col min="15111" max="15111" width="9.140625" style="311"/>
    <col min="15112" max="15113" width="9.28515625" style="311" customWidth="1"/>
    <col min="15114" max="15354" width="9.140625" style="311"/>
    <col min="15355" max="15355" width="8" style="311" customWidth="1"/>
    <col min="15356" max="15356" width="62.7109375" style="311" customWidth="1"/>
    <col min="15357" max="15357" width="5.7109375" style="311" customWidth="1"/>
    <col min="15358" max="15358" width="4.28515625" style="311" customWidth="1"/>
    <col min="15359" max="15359" width="8" style="311" customWidth="1"/>
    <col min="15360" max="15360" width="14.5703125" style="311" customWidth="1"/>
    <col min="15361" max="15361" width="8.28515625" style="311" customWidth="1"/>
    <col min="15362" max="15362" width="22" style="311" customWidth="1"/>
    <col min="15363" max="15363" width="21.5703125" style="311" customWidth="1"/>
    <col min="15364" max="15364" width="19.140625" style="311" customWidth="1"/>
    <col min="15365" max="15365" width="9.140625" style="311"/>
    <col min="15366" max="15366" width="8.85546875" style="311" customWidth="1"/>
    <col min="15367" max="15367" width="9.140625" style="311"/>
    <col min="15368" max="15369" width="9.28515625" style="311" customWidth="1"/>
    <col min="15370" max="15610" width="9.140625" style="311"/>
    <col min="15611" max="15611" width="8" style="311" customWidth="1"/>
    <col min="15612" max="15612" width="62.7109375" style="311" customWidth="1"/>
    <col min="15613" max="15613" width="5.7109375" style="311" customWidth="1"/>
    <col min="15614" max="15614" width="4.28515625" style="311" customWidth="1"/>
    <col min="15615" max="15615" width="8" style="311" customWidth="1"/>
    <col min="15616" max="15616" width="14.5703125" style="311" customWidth="1"/>
    <col min="15617" max="15617" width="8.28515625" style="311" customWidth="1"/>
    <col min="15618" max="15618" width="22" style="311" customWidth="1"/>
    <col min="15619" max="15619" width="21.5703125" style="311" customWidth="1"/>
    <col min="15620" max="15620" width="19.140625" style="311" customWidth="1"/>
    <col min="15621" max="15621" width="9.140625" style="311"/>
    <col min="15622" max="15622" width="8.85546875" style="311" customWidth="1"/>
    <col min="15623" max="15623" width="9.140625" style="311"/>
    <col min="15624" max="15625" width="9.28515625" style="311" customWidth="1"/>
    <col min="15626" max="15866" width="9.140625" style="311"/>
    <col min="15867" max="15867" width="8" style="311" customWidth="1"/>
    <col min="15868" max="15868" width="62.7109375" style="311" customWidth="1"/>
    <col min="15869" max="15869" width="5.7109375" style="311" customWidth="1"/>
    <col min="15870" max="15870" width="4.28515625" style="311" customWidth="1"/>
    <col min="15871" max="15871" width="8" style="311" customWidth="1"/>
    <col min="15872" max="15872" width="14.5703125" style="311" customWidth="1"/>
    <col min="15873" max="15873" width="8.28515625" style="311" customWidth="1"/>
    <col min="15874" max="15874" width="22" style="311" customWidth="1"/>
    <col min="15875" max="15875" width="21.5703125" style="311" customWidth="1"/>
    <col min="15876" max="15876" width="19.140625" style="311" customWidth="1"/>
    <col min="15877" max="15877" width="9.140625" style="311"/>
    <col min="15878" max="15878" width="8.85546875" style="311" customWidth="1"/>
    <col min="15879" max="15879" width="9.140625" style="311"/>
    <col min="15880" max="15881" width="9.28515625" style="311" customWidth="1"/>
    <col min="15882" max="16122" width="9.140625" style="311"/>
    <col min="16123" max="16123" width="8" style="311" customWidth="1"/>
    <col min="16124" max="16124" width="62.7109375" style="311" customWidth="1"/>
    <col min="16125" max="16125" width="5.7109375" style="311" customWidth="1"/>
    <col min="16126" max="16126" width="4.28515625" style="311" customWidth="1"/>
    <col min="16127" max="16127" width="8" style="311" customWidth="1"/>
    <col min="16128" max="16128" width="14.5703125" style="311" customWidth="1"/>
    <col min="16129" max="16129" width="8.28515625" style="311" customWidth="1"/>
    <col min="16130" max="16130" width="22" style="311" customWidth="1"/>
    <col min="16131" max="16131" width="21.5703125" style="311" customWidth="1"/>
    <col min="16132" max="16132" width="19.140625" style="311" customWidth="1"/>
    <col min="16133" max="16133" width="9.140625" style="311"/>
    <col min="16134" max="16134" width="8.85546875" style="311" customWidth="1"/>
    <col min="16135" max="16135" width="9.140625" style="311"/>
    <col min="16136" max="16137" width="9.28515625" style="311" customWidth="1"/>
    <col min="16138" max="16384" width="9.140625" style="311"/>
  </cols>
  <sheetData>
    <row r="1" spans="2:13" ht="14.85" customHeight="1" thickBot="1"/>
    <row r="2" spans="2:13" ht="15" customHeight="1">
      <c r="B2" s="907" t="s">
        <v>453</v>
      </c>
      <c r="C2" s="908"/>
      <c r="D2" s="908"/>
      <c r="E2" s="908"/>
      <c r="F2" s="908"/>
      <c r="G2" s="908"/>
      <c r="H2" s="908"/>
      <c r="I2" s="908"/>
      <c r="J2" s="908"/>
      <c r="K2" s="909"/>
    </row>
    <row r="3" spans="2:13" ht="15" customHeight="1">
      <c r="B3" s="817" t="s">
        <v>450</v>
      </c>
      <c r="C3" s="818"/>
      <c r="D3" s="818"/>
      <c r="E3" s="818"/>
      <c r="F3" s="818"/>
      <c r="G3" s="818"/>
      <c r="H3" s="818"/>
      <c r="I3" s="818"/>
      <c r="J3" s="818"/>
      <c r="K3" s="819"/>
    </row>
    <row r="4" spans="2:13" ht="15" customHeight="1">
      <c r="B4" s="817" t="s">
        <v>406</v>
      </c>
      <c r="C4" s="818"/>
      <c r="D4" s="818"/>
      <c r="E4" s="818"/>
      <c r="F4" s="818"/>
      <c r="G4" s="818"/>
      <c r="H4" s="818"/>
      <c r="I4" s="818"/>
      <c r="J4" s="818"/>
      <c r="K4" s="819"/>
    </row>
    <row r="5" spans="2:13" s="33" customFormat="1" ht="15">
      <c r="B5" s="698" t="s">
        <v>455</v>
      </c>
      <c r="C5" s="520"/>
      <c r="D5" s="520"/>
      <c r="E5" s="520"/>
      <c r="F5" s="521"/>
      <c r="G5" s="520"/>
      <c r="H5" s="740"/>
      <c r="I5" s="741"/>
      <c r="J5" s="526" t="s">
        <v>422</v>
      </c>
      <c r="K5" s="525" t="s">
        <v>588</v>
      </c>
    </row>
    <row r="6" spans="2:13" ht="12.75">
      <c r="B6" s="698"/>
      <c r="C6" s="520"/>
      <c r="D6" s="520"/>
      <c r="E6" s="520"/>
      <c r="F6" s="521"/>
      <c r="G6" s="520"/>
      <c r="H6" s="523"/>
      <c r="I6" s="530"/>
      <c r="J6" s="526" t="s">
        <v>636</v>
      </c>
      <c r="K6" s="525" t="s">
        <v>589</v>
      </c>
    </row>
    <row r="7" spans="2:13" ht="13.5" thickBot="1">
      <c r="B7" s="531" t="s">
        <v>8</v>
      </c>
      <c r="C7" s="532"/>
      <c r="D7" s="532" t="s">
        <v>8</v>
      </c>
      <c r="E7" s="533" t="s">
        <v>8</v>
      </c>
      <c r="F7" s="532"/>
      <c r="G7" s="532"/>
      <c r="H7" s="532"/>
      <c r="I7" s="532"/>
      <c r="J7" s="532"/>
      <c r="K7" s="534"/>
    </row>
    <row r="8" spans="2:13" ht="13.5" thickBot="1">
      <c r="B8" s="910" t="s">
        <v>119</v>
      </c>
      <c r="C8" s="912" t="s">
        <v>61</v>
      </c>
      <c r="D8" s="914" t="s">
        <v>60</v>
      </c>
      <c r="E8" s="914"/>
      <c r="F8" s="914"/>
      <c r="G8" s="914"/>
      <c r="H8" s="916" t="s">
        <v>171</v>
      </c>
      <c r="I8" s="918" t="s">
        <v>59</v>
      </c>
      <c r="J8" s="920" t="s">
        <v>407</v>
      </c>
      <c r="K8" s="905" t="s">
        <v>408</v>
      </c>
    </row>
    <row r="9" spans="2:13" ht="13.5" thickBot="1">
      <c r="B9" s="911"/>
      <c r="C9" s="913"/>
      <c r="D9" s="915"/>
      <c r="E9" s="915"/>
      <c r="F9" s="915"/>
      <c r="G9" s="915"/>
      <c r="H9" s="917"/>
      <c r="I9" s="919"/>
      <c r="J9" s="912"/>
      <c r="K9" s="906"/>
    </row>
    <row r="10" spans="2:13" ht="13.5" thickBot="1">
      <c r="B10" s="395">
        <v>1</v>
      </c>
      <c r="C10" s="396"/>
      <c r="D10" s="397" t="s">
        <v>409</v>
      </c>
      <c r="E10" s="397"/>
      <c r="F10" s="396"/>
      <c r="G10" s="397"/>
      <c r="H10" s="398"/>
      <c r="I10" s="399"/>
      <c r="J10" s="400"/>
      <c r="K10" s="401"/>
    </row>
    <row r="11" spans="2:13" ht="18" customHeight="1">
      <c r="B11" s="402" t="s">
        <v>54</v>
      </c>
      <c r="C11" s="403">
        <v>90777</v>
      </c>
      <c r="D11" s="404" t="s">
        <v>410</v>
      </c>
      <c r="E11" s="99"/>
      <c r="F11" s="405"/>
      <c r="G11" s="406"/>
      <c r="H11" s="407" t="s">
        <v>411</v>
      </c>
      <c r="I11" s="408">
        <v>4</v>
      </c>
      <c r="J11" s="409">
        <f>87.57*2*3*4</f>
        <v>2101.6799999999998</v>
      </c>
      <c r="K11" s="410">
        <f>I11*J11</f>
        <v>8406.7199999999993</v>
      </c>
    </row>
    <row r="12" spans="2:13" ht="18" customHeight="1">
      <c r="B12" s="225" t="s">
        <v>53</v>
      </c>
      <c r="C12" s="411">
        <v>90776</v>
      </c>
      <c r="D12" s="80" t="s">
        <v>640</v>
      </c>
      <c r="E12" s="87"/>
      <c r="F12" s="412"/>
      <c r="G12" s="413"/>
      <c r="H12" s="411" t="s">
        <v>411</v>
      </c>
      <c r="I12" s="414">
        <v>4</v>
      </c>
      <c r="J12" s="415">
        <f>41.45*8*4</f>
        <v>1326.4</v>
      </c>
      <c r="K12" s="416">
        <f t="shared" ref="K12" si="0">I12*J12</f>
        <v>5305.6</v>
      </c>
    </row>
    <row r="13" spans="2:13" ht="18" customHeight="1">
      <c r="B13" s="225"/>
      <c r="C13" s="411"/>
      <c r="D13" s="80"/>
      <c r="E13" s="87"/>
      <c r="F13" s="412"/>
      <c r="G13" s="413"/>
      <c r="H13" s="411"/>
      <c r="I13" s="414"/>
      <c r="J13" s="417"/>
      <c r="K13" s="416"/>
    </row>
    <row r="14" spans="2:13" ht="18" customHeight="1" thickBot="1">
      <c r="B14" s="418"/>
      <c r="C14" s="419"/>
      <c r="D14" s="420"/>
      <c r="E14" s="421"/>
      <c r="F14" s="422"/>
      <c r="G14" s="423"/>
      <c r="H14" s="424"/>
      <c r="I14" s="425"/>
      <c r="J14" s="426"/>
      <c r="K14" s="427"/>
      <c r="M14" s="86"/>
    </row>
    <row r="15" spans="2:13" ht="13.5" thickBot="1">
      <c r="B15" s="535" t="s">
        <v>412</v>
      </c>
      <c r="C15" s="536"/>
      <c r="D15" s="536"/>
      <c r="E15" s="536"/>
      <c r="F15" s="536"/>
      <c r="G15" s="536"/>
      <c r="H15" s="536"/>
      <c r="I15" s="537"/>
      <c r="J15" s="537"/>
      <c r="K15" s="538">
        <f>SUM(K11:K14)</f>
        <v>13712.32</v>
      </c>
    </row>
    <row r="16" spans="2:13" ht="13.5" thickBot="1">
      <c r="B16" s="539" t="s">
        <v>413</v>
      </c>
      <c r="C16" s="540"/>
      <c r="D16" s="540"/>
      <c r="E16" s="540"/>
      <c r="F16" s="540"/>
      <c r="G16" s="540"/>
      <c r="H16" s="540"/>
      <c r="I16" s="541"/>
      <c r="J16" s="541"/>
      <c r="K16" s="542">
        <f>K15/100</f>
        <v>137.1232</v>
      </c>
    </row>
    <row r="17" spans="2:11" ht="12.75">
      <c r="B17" s="44" t="s">
        <v>556</v>
      </c>
      <c r="C17" s="428"/>
      <c r="D17" s="428"/>
      <c r="E17" s="428"/>
      <c r="F17" s="428"/>
      <c r="G17" s="428"/>
      <c r="H17" s="428"/>
      <c r="I17" s="429"/>
      <c r="J17" s="429"/>
      <c r="K17" s="430"/>
    </row>
    <row r="18" spans="2:11" ht="14.85" customHeight="1" thickBot="1">
      <c r="B18" s="746" t="s">
        <v>557</v>
      </c>
      <c r="C18" s="65"/>
      <c r="D18" s="65"/>
      <c r="E18" s="65"/>
      <c r="F18" s="65"/>
      <c r="G18" s="65"/>
      <c r="H18" s="65"/>
      <c r="I18" s="433"/>
      <c r="J18" s="433"/>
      <c r="K18" s="747"/>
    </row>
  </sheetData>
  <mergeCells count="10">
    <mergeCell ref="K8:K9"/>
    <mergeCell ref="B2:K2"/>
    <mergeCell ref="B3:K3"/>
    <mergeCell ref="B4:K4"/>
    <mergeCell ref="B8:B9"/>
    <mergeCell ref="C8:C9"/>
    <mergeCell ref="D8:G9"/>
    <mergeCell ref="H8:H9"/>
    <mergeCell ref="I8:I9"/>
    <mergeCell ref="J8:J9"/>
  </mergeCells>
  <printOptions horizontalCentered="1"/>
  <pageMargins left="1.1811023622047245" right="1.1811023622047245" top="1.1811023622047245" bottom="0.98425196850393704" header="0.31496062992125984" footer="0.31496062992125984"/>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zoomScale="90" zoomScaleNormal="90" workbookViewId="0">
      <selection activeCell="D42" sqref="D42"/>
    </sheetView>
  </sheetViews>
  <sheetFormatPr defaultRowHeight="12.75"/>
  <cols>
    <col min="1" max="1" width="9.5703125" style="163" customWidth="1"/>
    <col min="2" max="2" width="31.7109375" style="164" bestFit="1" customWidth="1"/>
    <col min="3" max="3" width="10.28515625" style="164" customWidth="1"/>
    <col min="4" max="4" width="2.28515625" style="165" bestFit="1" customWidth="1"/>
    <col min="5" max="5" width="32.28515625" style="165" customWidth="1"/>
    <col min="6" max="16384" width="9.140625" style="166"/>
  </cols>
  <sheetData>
    <row r="1" spans="1:5" ht="15" customHeight="1"/>
    <row r="2" spans="1:5" ht="15" customHeight="1"/>
    <row r="3" spans="1:5" s="159" customFormat="1" ht="15" customHeight="1" thickBot="1">
      <c r="A3" s="927"/>
      <c r="B3" s="927"/>
      <c r="C3" s="927"/>
      <c r="D3" s="927"/>
      <c r="E3" s="927"/>
    </row>
    <row r="4" spans="1:5" s="311" customFormat="1" ht="15" customHeight="1">
      <c r="A4" s="928"/>
      <c r="B4" s="929"/>
      <c r="C4" s="929"/>
      <c r="D4" s="929"/>
      <c r="E4" s="930"/>
    </row>
    <row r="5" spans="1:5" s="311" customFormat="1" ht="15" customHeight="1">
      <c r="A5" s="931" t="s">
        <v>228</v>
      </c>
      <c r="B5" s="932"/>
      <c r="C5" s="932"/>
      <c r="D5" s="932"/>
      <c r="E5" s="933"/>
    </row>
    <row r="6" spans="1:5" s="311" customFormat="1" ht="15" customHeight="1">
      <c r="A6" s="931"/>
      <c r="B6" s="932"/>
      <c r="C6" s="932"/>
      <c r="D6" s="932"/>
      <c r="E6" s="933"/>
    </row>
    <row r="7" spans="1:5" s="160" customFormat="1" ht="15" customHeight="1" thickBot="1">
      <c r="A7" s="394" t="s">
        <v>197</v>
      </c>
      <c r="B7" s="934" t="s">
        <v>403</v>
      </c>
      <c r="C7" s="934"/>
      <c r="D7" s="935"/>
      <c r="E7" s="936"/>
    </row>
    <row r="8" spans="1:5" s="311" customFormat="1" ht="15" customHeight="1">
      <c r="A8" s="172" t="s">
        <v>229</v>
      </c>
      <c r="B8" s="173" t="s">
        <v>230</v>
      </c>
      <c r="C8" s="174">
        <v>7.4000000000000003E-3</v>
      </c>
      <c r="D8" s="175" t="s">
        <v>231</v>
      </c>
      <c r="E8" s="176" t="s">
        <v>232</v>
      </c>
    </row>
    <row r="9" spans="1:5" s="311" customFormat="1" ht="15" customHeight="1">
      <c r="A9" s="177"/>
      <c r="B9" s="178"/>
      <c r="C9" s="179"/>
      <c r="D9" s="180"/>
      <c r="E9" s="181"/>
    </row>
    <row r="10" spans="1:5" s="311" customFormat="1" ht="15" customHeight="1">
      <c r="A10" s="172" t="s">
        <v>203</v>
      </c>
      <c r="B10" s="173" t="s">
        <v>233</v>
      </c>
      <c r="C10" s="174">
        <v>9.7000000000000003E-3</v>
      </c>
      <c r="D10" s="175" t="s">
        <v>231</v>
      </c>
      <c r="E10" s="176" t="s">
        <v>232</v>
      </c>
    </row>
    <row r="11" spans="1:5" s="311" customFormat="1" ht="15" customHeight="1">
      <c r="A11" s="177"/>
      <c r="B11" s="178"/>
      <c r="C11" s="179"/>
      <c r="D11" s="180"/>
      <c r="E11" s="181"/>
    </row>
    <row r="12" spans="1:5" s="311" customFormat="1" ht="15" customHeight="1">
      <c r="A12" s="172" t="s">
        <v>204</v>
      </c>
      <c r="B12" s="173" t="s">
        <v>234</v>
      </c>
      <c r="C12" s="174">
        <v>1.21E-2</v>
      </c>
      <c r="D12" s="175" t="s">
        <v>231</v>
      </c>
      <c r="E12" s="176" t="s">
        <v>232</v>
      </c>
    </row>
    <row r="13" spans="1:5" s="311" customFormat="1" ht="15" customHeight="1">
      <c r="A13" s="177"/>
      <c r="B13" s="178"/>
      <c r="C13" s="179"/>
      <c r="D13" s="180"/>
      <c r="E13" s="181"/>
    </row>
    <row r="14" spans="1:5" s="311" customFormat="1" ht="15" customHeight="1">
      <c r="A14" s="172" t="s">
        <v>202</v>
      </c>
      <c r="B14" s="173" t="s">
        <v>235</v>
      </c>
      <c r="C14" s="174">
        <v>4.6699999999999998E-2</v>
      </c>
      <c r="D14" s="175" t="s">
        <v>231</v>
      </c>
      <c r="E14" s="176" t="s">
        <v>232</v>
      </c>
    </row>
    <row r="15" spans="1:5" s="311" customFormat="1" ht="15" customHeight="1">
      <c r="A15" s="182"/>
      <c r="B15" s="178"/>
      <c r="C15" s="179"/>
      <c r="D15" s="180"/>
      <c r="E15" s="181"/>
    </row>
    <row r="16" spans="1:5" s="311" customFormat="1" ht="15" customHeight="1">
      <c r="A16" s="172" t="s">
        <v>205</v>
      </c>
      <c r="B16" s="173" t="s">
        <v>236</v>
      </c>
      <c r="C16" s="174">
        <v>8.6900000000000005E-2</v>
      </c>
      <c r="D16" s="175" t="s">
        <v>231</v>
      </c>
      <c r="E16" s="176" t="s">
        <v>232</v>
      </c>
    </row>
    <row r="17" spans="1:5" s="311" customFormat="1" ht="15" customHeight="1">
      <c r="A17" s="182"/>
      <c r="B17" s="183"/>
      <c r="C17" s="184"/>
      <c r="D17" s="180"/>
      <c r="E17" s="181"/>
    </row>
    <row r="18" spans="1:5" s="311" customFormat="1" ht="15" customHeight="1">
      <c r="A18" s="172" t="s">
        <v>206</v>
      </c>
      <c r="B18" s="173" t="s">
        <v>237</v>
      </c>
      <c r="C18" s="174">
        <f>C20+C22+C24</f>
        <v>5.6499999999999995E-2</v>
      </c>
      <c r="D18" s="175" t="s">
        <v>231</v>
      </c>
      <c r="E18" s="176" t="s">
        <v>232</v>
      </c>
    </row>
    <row r="19" spans="1:5" s="311" customFormat="1" ht="15" customHeight="1">
      <c r="A19" s="177"/>
      <c r="B19" s="178"/>
      <c r="C19" s="179"/>
      <c r="D19" s="180"/>
      <c r="E19" s="181"/>
    </row>
    <row r="20" spans="1:5" s="311" customFormat="1" ht="15" customHeight="1">
      <c r="A20" s="185"/>
      <c r="B20" s="173" t="s">
        <v>238</v>
      </c>
      <c r="C20" s="186">
        <v>6.4999999999999997E-3</v>
      </c>
      <c r="D20" s="175"/>
      <c r="E20" s="176"/>
    </row>
    <row r="21" spans="1:5" s="311" customFormat="1" ht="15" customHeight="1">
      <c r="A21" s="177"/>
      <c r="B21" s="178"/>
      <c r="C21" s="187"/>
      <c r="D21" s="180"/>
      <c r="E21" s="181"/>
    </row>
    <row r="22" spans="1:5" s="311" customFormat="1" ht="15" customHeight="1">
      <c r="A22" s="185"/>
      <c r="B22" s="188" t="s">
        <v>239</v>
      </c>
      <c r="C22" s="189">
        <v>0.03</v>
      </c>
      <c r="D22" s="175"/>
      <c r="E22" s="176" t="s">
        <v>232</v>
      </c>
    </row>
    <row r="23" spans="1:5" s="311" customFormat="1" ht="15" customHeight="1">
      <c r="A23" s="177"/>
      <c r="B23" s="178"/>
      <c r="C23" s="190"/>
      <c r="D23" s="180"/>
      <c r="E23" s="181"/>
    </row>
    <row r="24" spans="1:5" s="311" customFormat="1" ht="15" customHeight="1">
      <c r="A24" s="185"/>
      <c r="B24" s="173" t="s">
        <v>240</v>
      </c>
      <c r="C24" s="189">
        <v>0.02</v>
      </c>
      <c r="D24" s="175"/>
      <c r="E24" s="176" t="s">
        <v>232</v>
      </c>
    </row>
    <row r="25" spans="1:5" s="311" customFormat="1" ht="15" customHeight="1">
      <c r="A25" s="177"/>
      <c r="B25" s="178"/>
      <c r="C25" s="190"/>
      <c r="D25" s="180"/>
      <c r="E25" s="181"/>
    </row>
    <row r="26" spans="1:5" s="311" customFormat="1" ht="15" customHeight="1">
      <c r="A26" s="191"/>
      <c r="B26" s="173" t="s">
        <v>241</v>
      </c>
      <c r="C26" s="174">
        <v>0</v>
      </c>
      <c r="D26" s="175"/>
      <c r="E26" s="176" t="s">
        <v>232</v>
      </c>
    </row>
    <row r="27" spans="1:5" s="311" customFormat="1" ht="15" customHeight="1">
      <c r="A27" s="192"/>
      <c r="B27" s="183"/>
      <c r="C27" s="193"/>
      <c r="D27" s="194"/>
      <c r="E27" s="195"/>
    </row>
    <row r="28" spans="1:5" s="311" customFormat="1" ht="15" customHeight="1">
      <c r="A28" s="196"/>
      <c r="B28" s="197"/>
      <c r="C28" s="198"/>
      <c r="D28" s="199"/>
      <c r="E28" s="200"/>
    </row>
    <row r="29" spans="1:5" s="311" customFormat="1" ht="15" customHeight="1">
      <c r="A29" s="196"/>
      <c r="B29" s="197"/>
      <c r="C29" s="198"/>
      <c r="D29" s="199"/>
      <c r="E29" s="200"/>
    </row>
    <row r="30" spans="1:5" s="311" customFormat="1" ht="12" customHeight="1">
      <c r="A30" s="201"/>
      <c r="B30" s="937"/>
      <c r="C30" s="937"/>
      <c r="D30" s="937"/>
      <c r="E30" s="202"/>
    </row>
    <row r="31" spans="1:5" s="311" customFormat="1" ht="12" customHeight="1">
      <c r="A31" s="203"/>
      <c r="B31" s="204"/>
      <c r="C31" s="204"/>
      <c r="D31" s="204"/>
      <c r="E31" s="205"/>
    </row>
    <row r="32" spans="1:5" s="311" customFormat="1" ht="12" customHeight="1">
      <c r="A32" s="921" t="s">
        <v>242</v>
      </c>
      <c r="B32" s="922"/>
      <c r="C32" s="923">
        <f>(((1+C14+C10+C8)*(1+C12)*(1+C16))/(1-C18))-1</f>
        <v>0.24031242719872803</v>
      </c>
      <c r="D32" s="923"/>
      <c r="E32" s="205"/>
    </row>
    <row r="33" spans="1:5" s="311" customFormat="1" ht="12" customHeight="1" thickBot="1">
      <c r="A33" s="171"/>
      <c r="B33" s="161"/>
      <c r="C33" s="161"/>
      <c r="D33" s="162"/>
      <c r="E33" s="206"/>
    </row>
    <row r="34" spans="1:5" s="311" customFormat="1" ht="91.5" customHeight="1" thickBot="1">
      <c r="A34" s="924" t="s">
        <v>243</v>
      </c>
      <c r="B34" s="925"/>
      <c r="C34" s="925"/>
      <c r="D34" s="925"/>
      <c r="E34" s="926"/>
    </row>
  </sheetData>
  <mergeCells count="9">
    <mergeCell ref="A32:B32"/>
    <mergeCell ref="C32:D32"/>
    <mergeCell ref="A34:E34"/>
    <mergeCell ref="A3:E3"/>
    <mergeCell ref="A4:E4"/>
    <mergeCell ref="A5:E6"/>
    <mergeCell ref="B7:C7"/>
    <mergeCell ref="D7:E7"/>
    <mergeCell ref="B30:D30"/>
  </mergeCells>
  <printOptions horizontalCentered="1"/>
  <pageMargins left="1.1811023622047245" right="0.98425196850393704" top="1.1811023622047245" bottom="0.78740157480314965" header="0.31496062992125984" footer="0.31496062992125984"/>
  <pageSetup paperSize="9" scale="92"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sheetPr codeName="Plan1"/>
  <dimension ref="B2:Q89"/>
  <sheetViews>
    <sheetView workbookViewId="0"/>
  </sheetViews>
  <sheetFormatPr defaultRowHeight="12.75"/>
  <cols>
    <col min="1" max="1" width="2.28515625" style="235" customWidth="1"/>
    <col min="2" max="3" width="6" style="235" customWidth="1"/>
    <col min="4" max="4" width="10.42578125" style="235" customWidth="1"/>
    <col min="5" max="5" width="20.140625" style="235" customWidth="1"/>
    <col min="6" max="6" width="27.5703125" style="235" customWidth="1"/>
    <col min="7" max="7" width="11.28515625" style="235" customWidth="1"/>
    <col min="8" max="8" width="11" style="236" customWidth="1"/>
    <col min="9" max="9" width="9.140625" style="235"/>
    <col min="10" max="10" width="2.7109375" style="235" customWidth="1"/>
    <col min="11" max="14" width="9.140625" style="237"/>
    <col min="15" max="256" width="9.140625" style="235"/>
    <col min="257" max="257" width="2.28515625" style="235" customWidth="1"/>
    <col min="258" max="259" width="6" style="235" customWidth="1"/>
    <col min="260" max="260" width="10.42578125" style="235" customWidth="1"/>
    <col min="261" max="261" width="20.140625" style="235" customWidth="1"/>
    <col min="262" max="262" width="27.5703125" style="235" customWidth="1"/>
    <col min="263" max="263" width="11.28515625" style="235" customWidth="1"/>
    <col min="264" max="264" width="11" style="235" customWidth="1"/>
    <col min="265" max="265" width="9.140625" style="235"/>
    <col min="266" max="266" width="2.7109375" style="235" customWidth="1"/>
    <col min="267" max="512" width="9.140625" style="235"/>
    <col min="513" max="513" width="2.28515625" style="235" customWidth="1"/>
    <col min="514" max="515" width="6" style="235" customWidth="1"/>
    <col min="516" max="516" width="10.42578125" style="235" customWidth="1"/>
    <col min="517" max="517" width="20.140625" style="235" customWidth="1"/>
    <col min="518" max="518" width="27.5703125" style="235" customWidth="1"/>
    <col min="519" max="519" width="11.28515625" style="235" customWidth="1"/>
    <col min="520" max="520" width="11" style="235" customWidth="1"/>
    <col min="521" max="521" width="9.140625" style="235"/>
    <col min="522" max="522" width="2.7109375" style="235" customWidth="1"/>
    <col min="523" max="768" width="9.140625" style="235"/>
    <col min="769" max="769" width="2.28515625" style="235" customWidth="1"/>
    <col min="770" max="771" width="6" style="235" customWidth="1"/>
    <col min="772" max="772" width="10.42578125" style="235" customWidth="1"/>
    <col min="773" max="773" width="20.140625" style="235" customWidth="1"/>
    <col min="774" max="774" width="27.5703125" style="235" customWidth="1"/>
    <col min="775" max="775" width="11.28515625" style="235" customWidth="1"/>
    <col min="776" max="776" width="11" style="235" customWidth="1"/>
    <col min="777" max="777" width="9.140625" style="235"/>
    <col min="778" max="778" width="2.7109375" style="235" customWidth="1"/>
    <col min="779" max="1024" width="9.140625" style="235"/>
    <col min="1025" max="1025" width="2.28515625" style="235" customWidth="1"/>
    <col min="1026" max="1027" width="6" style="235" customWidth="1"/>
    <col min="1028" max="1028" width="10.42578125" style="235" customWidth="1"/>
    <col min="1029" max="1029" width="20.140625" style="235" customWidth="1"/>
    <col min="1030" max="1030" width="27.5703125" style="235" customWidth="1"/>
    <col min="1031" max="1031" width="11.28515625" style="235" customWidth="1"/>
    <col min="1032" max="1032" width="11" style="235" customWidth="1"/>
    <col min="1033" max="1033" width="9.140625" style="235"/>
    <col min="1034" max="1034" width="2.7109375" style="235" customWidth="1"/>
    <col min="1035" max="1280" width="9.140625" style="235"/>
    <col min="1281" max="1281" width="2.28515625" style="235" customWidth="1"/>
    <col min="1282" max="1283" width="6" style="235" customWidth="1"/>
    <col min="1284" max="1284" width="10.42578125" style="235" customWidth="1"/>
    <col min="1285" max="1285" width="20.140625" style="235" customWidth="1"/>
    <col min="1286" max="1286" width="27.5703125" style="235" customWidth="1"/>
    <col min="1287" max="1287" width="11.28515625" style="235" customWidth="1"/>
    <col min="1288" max="1288" width="11" style="235" customWidth="1"/>
    <col min="1289" max="1289" width="9.140625" style="235"/>
    <col min="1290" max="1290" width="2.7109375" style="235" customWidth="1"/>
    <col min="1291" max="1536" width="9.140625" style="235"/>
    <col min="1537" max="1537" width="2.28515625" style="235" customWidth="1"/>
    <col min="1538" max="1539" width="6" style="235" customWidth="1"/>
    <col min="1540" max="1540" width="10.42578125" style="235" customWidth="1"/>
    <col min="1541" max="1541" width="20.140625" style="235" customWidth="1"/>
    <col min="1542" max="1542" width="27.5703125" style="235" customWidth="1"/>
    <col min="1543" max="1543" width="11.28515625" style="235" customWidth="1"/>
    <col min="1544" max="1544" width="11" style="235" customWidth="1"/>
    <col min="1545" max="1545" width="9.140625" style="235"/>
    <col min="1546" max="1546" width="2.7109375" style="235" customWidth="1"/>
    <col min="1547" max="1792" width="9.140625" style="235"/>
    <col min="1793" max="1793" width="2.28515625" style="235" customWidth="1"/>
    <col min="1794" max="1795" width="6" style="235" customWidth="1"/>
    <col min="1796" max="1796" width="10.42578125" style="235" customWidth="1"/>
    <col min="1797" max="1797" width="20.140625" style="235" customWidth="1"/>
    <col min="1798" max="1798" width="27.5703125" style="235" customWidth="1"/>
    <col min="1799" max="1799" width="11.28515625" style="235" customWidth="1"/>
    <col min="1800" max="1800" width="11" style="235" customWidth="1"/>
    <col min="1801" max="1801" width="9.140625" style="235"/>
    <col min="1802" max="1802" width="2.7109375" style="235" customWidth="1"/>
    <col min="1803" max="2048" width="9.140625" style="235"/>
    <col min="2049" max="2049" width="2.28515625" style="235" customWidth="1"/>
    <col min="2050" max="2051" width="6" style="235" customWidth="1"/>
    <col min="2052" max="2052" width="10.42578125" style="235" customWidth="1"/>
    <col min="2053" max="2053" width="20.140625" style="235" customWidth="1"/>
    <col min="2054" max="2054" width="27.5703125" style="235" customWidth="1"/>
    <col min="2055" max="2055" width="11.28515625" style="235" customWidth="1"/>
    <col min="2056" max="2056" width="11" style="235" customWidth="1"/>
    <col min="2057" max="2057" width="9.140625" style="235"/>
    <col min="2058" max="2058" width="2.7109375" style="235" customWidth="1"/>
    <col min="2059" max="2304" width="9.140625" style="235"/>
    <col min="2305" max="2305" width="2.28515625" style="235" customWidth="1"/>
    <col min="2306" max="2307" width="6" style="235" customWidth="1"/>
    <col min="2308" max="2308" width="10.42578125" style="235" customWidth="1"/>
    <col min="2309" max="2309" width="20.140625" style="235" customWidth="1"/>
    <col min="2310" max="2310" width="27.5703125" style="235" customWidth="1"/>
    <col min="2311" max="2311" width="11.28515625" style="235" customWidth="1"/>
    <col min="2312" max="2312" width="11" style="235" customWidth="1"/>
    <col min="2313" max="2313" width="9.140625" style="235"/>
    <col min="2314" max="2314" width="2.7109375" style="235" customWidth="1"/>
    <col min="2315" max="2560" width="9.140625" style="235"/>
    <col min="2561" max="2561" width="2.28515625" style="235" customWidth="1"/>
    <col min="2562" max="2563" width="6" style="235" customWidth="1"/>
    <col min="2564" max="2564" width="10.42578125" style="235" customWidth="1"/>
    <col min="2565" max="2565" width="20.140625" style="235" customWidth="1"/>
    <col min="2566" max="2566" width="27.5703125" style="235" customWidth="1"/>
    <col min="2567" max="2567" width="11.28515625" style="235" customWidth="1"/>
    <col min="2568" max="2568" width="11" style="235" customWidth="1"/>
    <col min="2569" max="2569" width="9.140625" style="235"/>
    <col min="2570" max="2570" width="2.7109375" style="235" customWidth="1"/>
    <col min="2571" max="2816" width="9.140625" style="235"/>
    <col min="2817" max="2817" width="2.28515625" style="235" customWidth="1"/>
    <col min="2818" max="2819" width="6" style="235" customWidth="1"/>
    <col min="2820" max="2820" width="10.42578125" style="235" customWidth="1"/>
    <col min="2821" max="2821" width="20.140625" style="235" customWidth="1"/>
    <col min="2822" max="2822" width="27.5703125" style="235" customWidth="1"/>
    <col min="2823" max="2823" width="11.28515625" style="235" customWidth="1"/>
    <col min="2824" max="2824" width="11" style="235" customWidth="1"/>
    <col min="2825" max="2825" width="9.140625" style="235"/>
    <col min="2826" max="2826" width="2.7109375" style="235" customWidth="1"/>
    <col min="2827" max="3072" width="9.140625" style="235"/>
    <col min="3073" max="3073" width="2.28515625" style="235" customWidth="1"/>
    <col min="3074" max="3075" width="6" style="235" customWidth="1"/>
    <col min="3076" max="3076" width="10.42578125" style="235" customWidth="1"/>
    <col min="3077" max="3077" width="20.140625" style="235" customWidth="1"/>
    <col min="3078" max="3078" width="27.5703125" style="235" customWidth="1"/>
    <col min="3079" max="3079" width="11.28515625" style="235" customWidth="1"/>
    <col min="3080" max="3080" width="11" style="235" customWidth="1"/>
    <col min="3081" max="3081" width="9.140625" style="235"/>
    <col min="3082" max="3082" width="2.7109375" style="235" customWidth="1"/>
    <col min="3083" max="3328" width="9.140625" style="235"/>
    <col min="3329" max="3329" width="2.28515625" style="235" customWidth="1"/>
    <col min="3330" max="3331" width="6" style="235" customWidth="1"/>
    <col min="3332" max="3332" width="10.42578125" style="235" customWidth="1"/>
    <col min="3333" max="3333" width="20.140625" style="235" customWidth="1"/>
    <col min="3334" max="3334" width="27.5703125" style="235" customWidth="1"/>
    <col min="3335" max="3335" width="11.28515625" style="235" customWidth="1"/>
    <col min="3336" max="3336" width="11" style="235" customWidth="1"/>
    <col min="3337" max="3337" width="9.140625" style="235"/>
    <col min="3338" max="3338" width="2.7109375" style="235" customWidth="1"/>
    <col min="3339" max="3584" width="9.140625" style="235"/>
    <col min="3585" max="3585" width="2.28515625" style="235" customWidth="1"/>
    <col min="3586" max="3587" width="6" style="235" customWidth="1"/>
    <col min="3588" max="3588" width="10.42578125" style="235" customWidth="1"/>
    <col min="3589" max="3589" width="20.140625" style="235" customWidth="1"/>
    <col min="3590" max="3590" width="27.5703125" style="235" customWidth="1"/>
    <col min="3591" max="3591" width="11.28515625" style="235" customWidth="1"/>
    <col min="3592" max="3592" width="11" style="235" customWidth="1"/>
    <col min="3593" max="3593" width="9.140625" style="235"/>
    <col min="3594" max="3594" width="2.7109375" style="235" customWidth="1"/>
    <col min="3595" max="3840" width="9.140625" style="235"/>
    <col min="3841" max="3841" width="2.28515625" style="235" customWidth="1"/>
    <col min="3842" max="3843" width="6" style="235" customWidth="1"/>
    <col min="3844" max="3844" width="10.42578125" style="235" customWidth="1"/>
    <col min="3845" max="3845" width="20.140625" style="235" customWidth="1"/>
    <col min="3846" max="3846" width="27.5703125" style="235" customWidth="1"/>
    <col min="3847" max="3847" width="11.28515625" style="235" customWidth="1"/>
    <col min="3848" max="3848" width="11" style="235" customWidth="1"/>
    <col min="3849" max="3849" width="9.140625" style="235"/>
    <col min="3850" max="3850" width="2.7109375" style="235" customWidth="1"/>
    <col min="3851" max="4096" width="9.140625" style="235"/>
    <col min="4097" max="4097" width="2.28515625" style="235" customWidth="1"/>
    <col min="4098" max="4099" width="6" style="235" customWidth="1"/>
    <col min="4100" max="4100" width="10.42578125" style="235" customWidth="1"/>
    <col min="4101" max="4101" width="20.140625" style="235" customWidth="1"/>
    <col min="4102" max="4102" width="27.5703125" style="235" customWidth="1"/>
    <col min="4103" max="4103" width="11.28515625" style="235" customWidth="1"/>
    <col min="4104" max="4104" width="11" style="235" customWidth="1"/>
    <col min="4105" max="4105" width="9.140625" style="235"/>
    <col min="4106" max="4106" width="2.7109375" style="235" customWidth="1"/>
    <col min="4107" max="4352" width="9.140625" style="235"/>
    <col min="4353" max="4353" width="2.28515625" style="235" customWidth="1"/>
    <col min="4354" max="4355" width="6" style="235" customWidth="1"/>
    <col min="4356" max="4356" width="10.42578125" style="235" customWidth="1"/>
    <col min="4357" max="4357" width="20.140625" style="235" customWidth="1"/>
    <col min="4358" max="4358" width="27.5703125" style="235" customWidth="1"/>
    <col min="4359" max="4359" width="11.28515625" style="235" customWidth="1"/>
    <col min="4360" max="4360" width="11" style="235" customWidth="1"/>
    <col min="4361" max="4361" width="9.140625" style="235"/>
    <col min="4362" max="4362" width="2.7109375" style="235" customWidth="1"/>
    <col min="4363" max="4608" width="9.140625" style="235"/>
    <col min="4609" max="4609" width="2.28515625" style="235" customWidth="1"/>
    <col min="4610" max="4611" width="6" style="235" customWidth="1"/>
    <col min="4612" max="4612" width="10.42578125" style="235" customWidth="1"/>
    <col min="4613" max="4613" width="20.140625" style="235" customWidth="1"/>
    <col min="4614" max="4614" width="27.5703125" style="235" customWidth="1"/>
    <col min="4615" max="4615" width="11.28515625" style="235" customWidth="1"/>
    <col min="4616" max="4616" width="11" style="235" customWidth="1"/>
    <col min="4617" max="4617" width="9.140625" style="235"/>
    <col min="4618" max="4618" width="2.7109375" style="235" customWidth="1"/>
    <col min="4619" max="4864" width="9.140625" style="235"/>
    <col min="4865" max="4865" width="2.28515625" style="235" customWidth="1"/>
    <col min="4866" max="4867" width="6" style="235" customWidth="1"/>
    <col min="4868" max="4868" width="10.42578125" style="235" customWidth="1"/>
    <col min="4869" max="4869" width="20.140625" style="235" customWidth="1"/>
    <col min="4870" max="4870" width="27.5703125" style="235" customWidth="1"/>
    <col min="4871" max="4871" width="11.28515625" style="235" customWidth="1"/>
    <col min="4872" max="4872" width="11" style="235" customWidth="1"/>
    <col min="4873" max="4873" width="9.140625" style="235"/>
    <col min="4874" max="4874" width="2.7109375" style="235" customWidth="1"/>
    <col min="4875" max="5120" width="9.140625" style="235"/>
    <col min="5121" max="5121" width="2.28515625" style="235" customWidth="1"/>
    <col min="5122" max="5123" width="6" style="235" customWidth="1"/>
    <col min="5124" max="5124" width="10.42578125" style="235" customWidth="1"/>
    <col min="5125" max="5125" width="20.140625" style="235" customWidth="1"/>
    <col min="5126" max="5126" width="27.5703125" style="235" customWidth="1"/>
    <col min="5127" max="5127" width="11.28515625" style="235" customWidth="1"/>
    <col min="5128" max="5128" width="11" style="235" customWidth="1"/>
    <col min="5129" max="5129" width="9.140625" style="235"/>
    <col min="5130" max="5130" width="2.7109375" style="235" customWidth="1"/>
    <col min="5131" max="5376" width="9.140625" style="235"/>
    <col min="5377" max="5377" width="2.28515625" style="235" customWidth="1"/>
    <col min="5378" max="5379" width="6" style="235" customWidth="1"/>
    <col min="5380" max="5380" width="10.42578125" style="235" customWidth="1"/>
    <col min="5381" max="5381" width="20.140625" style="235" customWidth="1"/>
    <col min="5382" max="5382" width="27.5703125" style="235" customWidth="1"/>
    <col min="5383" max="5383" width="11.28515625" style="235" customWidth="1"/>
    <col min="5384" max="5384" width="11" style="235" customWidth="1"/>
    <col min="5385" max="5385" width="9.140625" style="235"/>
    <col min="5386" max="5386" width="2.7109375" style="235" customWidth="1"/>
    <col min="5387" max="5632" width="9.140625" style="235"/>
    <col min="5633" max="5633" width="2.28515625" style="235" customWidth="1"/>
    <col min="5634" max="5635" width="6" style="235" customWidth="1"/>
    <col min="5636" max="5636" width="10.42578125" style="235" customWidth="1"/>
    <col min="5637" max="5637" width="20.140625" style="235" customWidth="1"/>
    <col min="5638" max="5638" width="27.5703125" style="235" customWidth="1"/>
    <col min="5639" max="5639" width="11.28515625" style="235" customWidth="1"/>
    <col min="5640" max="5640" width="11" style="235" customWidth="1"/>
    <col min="5641" max="5641" width="9.140625" style="235"/>
    <col min="5642" max="5642" width="2.7109375" style="235" customWidth="1"/>
    <col min="5643" max="5888" width="9.140625" style="235"/>
    <col min="5889" max="5889" width="2.28515625" style="235" customWidth="1"/>
    <col min="5890" max="5891" width="6" style="235" customWidth="1"/>
    <col min="5892" max="5892" width="10.42578125" style="235" customWidth="1"/>
    <col min="5893" max="5893" width="20.140625" style="235" customWidth="1"/>
    <col min="5894" max="5894" width="27.5703125" style="235" customWidth="1"/>
    <col min="5895" max="5895" width="11.28515625" style="235" customWidth="1"/>
    <col min="5896" max="5896" width="11" style="235" customWidth="1"/>
    <col min="5897" max="5897" width="9.140625" style="235"/>
    <col min="5898" max="5898" width="2.7109375" style="235" customWidth="1"/>
    <col min="5899" max="6144" width="9.140625" style="235"/>
    <col min="6145" max="6145" width="2.28515625" style="235" customWidth="1"/>
    <col min="6146" max="6147" width="6" style="235" customWidth="1"/>
    <col min="6148" max="6148" width="10.42578125" style="235" customWidth="1"/>
    <col min="6149" max="6149" width="20.140625" style="235" customWidth="1"/>
    <col min="6150" max="6150" width="27.5703125" style="235" customWidth="1"/>
    <col min="6151" max="6151" width="11.28515625" style="235" customWidth="1"/>
    <col min="6152" max="6152" width="11" style="235" customWidth="1"/>
    <col min="6153" max="6153" width="9.140625" style="235"/>
    <col min="6154" max="6154" width="2.7109375" style="235" customWidth="1"/>
    <col min="6155" max="6400" width="9.140625" style="235"/>
    <col min="6401" max="6401" width="2.28515625" style="235" customWidth="1"/>
    <col min="6402" max="6403" width="6" style="235" customWidth="1"/>
    <col min="6404" max="6404" width="10.42578125" style="235" customWidth="1"/>
    <col min="6405" max="6405" width="20.140625" style="235" customWidth="1"/>
    <col min="6406" max="6406" width="27.5703125" style="235" customWidth="1"/>
    <col min="6407" max="6407" width="11.28515625" style="235" customWidth="1"/>
    <col min="6408" max="6408" width="11" style="235" customWidth="1"/>
    <col min="6409" max="6409" width="9.140625" style="235"/>
    <col min="6410" max="6410" width="2.7109375" style="235" customWidth="1"/>
    <col min="6411" max="6656" width="9.140625" style="235"/>
    <col min="6657" max="6657" width="2.28515625" style="235" customWidth="1"/>
    <col min="6658" max="6659" width="6" style="235" customWidth="1"/>
    <col min="6660" max="6660" width="10.42578125" style="235" customWidth="1"/>
    <col min="6661" max="6661" width="20.140625" style="235" customWidth="1"/>
    <col min="6662" max="6662" width="27.5703125" style="235" customWidth="1"/>
    <col min="6663" max="6663" width="11.28515625" style="235" customWidth="1"/>
    <col min="6664" max="6664" width="11" style="235" customWidth="1"/>
    <col min="6665" max="6665" width="9.140625" style="235"/>
    <col min="6666" max="6666" width="2.7109375" style="235" customWidth="1"/>
    <col min="6667" max="6912" width="9.140625" style="235"/>
    <col min="6913" max="6913" width="2.28515625" style="235" customWidth="1"/>
    <col min="6914" max="6915" width="6" style="235" customWidth="1"/>
    <col min="6916" max="6916" width="10.42578125" style="235" customWidth="1"/>
    <col min="6917" max="6917" width="20.140625" style="235" customWidth="1"/>
    <col min="6918" max="6918" width="27.5703125" style="235" customWidth="1"/>
    <col min="6919" max="6919" width="11.28515625" style="235" customWidth="1"/>
    <col min="6920" max="6920" width="11" style="235" customWidth="1"/>
    <col min="6921" max="6921" width="9.140625" style="235"/>
    <col min="6922" max="6922" width="2.7109375" style="235" customWidth="1"/>
    <col min="6923" max="7168" width="9.140625" style="235"/>
    <col min="7169" max="7169" width="2.28515625" style="235" customWidth="1"/>
    <col min="7170" max="7171" width="6" style="235" customWidth="1"/>
    <col min="7172" max="7172" width="10.42578125" style="235" customWidth="1"/>
    <col min="7173" max="7173" width="20.140625" style="235" customWidth="1"/>
    <col min="7174" max="7174" width="27.5703125" style="235" customWidth="1"/>
    <col min="7175" max="7175" width="11.28515625" style="235" customWidth="1"/>
    <col min="7176" max="7176" width="11" style="235" customWidth="1"/>
    <col min="7177" max="7177" width="9.140625" style="235"/>
    <col min="7178" max="7178" width="2.7109375" style="235" customWidth="1"/>
    <col min="7179" max="7424" width="9.140625" style="235"/>
    <col min="7425" max="7425" width="2.28515625" style="235" customWidth="1"/>
    <col min="7426" max="7427" width="6" style="235" customWidth="1"/>
    <col min="7428" max="7428" width="10.42578125" style="235" customWidth="1"/>
    <col min="7429" max="7429" width="20.140625" style="235" customWidth="1"/>
    <col min="7430" max="7430" width="27.5703125" style="235" customWidth="1"/>
    <col min="7431" max="7431" width="11.28515625" style="235" customWidth="1"/>
    <col min="7432" max="7432" width="11" style="235" customWidth="1"/>
    <col min="7433" max="7433" width="9.140625" style="235"/>
    <col min="7434" max="7434" width="2.7109375" style="235" customWidth="1"/>
    <col min="7435" max="7680" width="9.140625" style="235"/>
    <col min="7681" max="7681" width="2.28515625" style="235" customWidth="1"/>
    <col min="7682" max="7683" width="6" style="235" customWidth="1"/>
    <col min="7684" max="7684" width="10.42578125" style="235" customWidth="1"/>
    <col min="7685" max="7685" width="20.140625" style="235" customWidth="1"/>
    <col min="7686" max="7686" width="27.5703125" style="235" customWidth="1"/>
    <col min="7687" max="7687" width="11.28515625" style="235" customWidth="1"/>
    <col min="7688" max="7688" width="11" style="235" customWidth="1"/>
    <col min="7689" max="7689" width="9.140625" style="235"/>
    <col min="7690" max="7690" width="2.7109375" style="235" customWidth="1"/>
    <col min="7691" max="7936" width="9.140625" style="235"/>
    <col min="7937" max="7937" width="2.28515625" style="235" customWidth="1"/>
    <col min="7938" max="7939" width="6" style="235" customWidth="1"/>
    <col min="7940" max="7940" width="10.42578125" style="235" customWidth="1"/>
    <col min="7941" max="7941" width="20.140625" style="235" customWidth="1"/>
    <col min="7942" max="7942" width="27.5703125" style="235" customWidth="1"/>
    <col min="7943" max="7943" width="11.28515625" style="235" customWidth="1"/>
    <col min="7944" max="7944" width="11" style="235" customWidth="1"/>
    <col min="7945" max="7945" width="9.140625" style="235"/>
    <col min="7946" max="7946" width="2.7109375" style="235" customWidth="1"/>
    <col min="7947" max="8192" width="9.140625" style="235"/>
    <col min="8193" max="8193" width="2.28515625" style="235" customWidth="1"/>
    <col min="8194" max="8195" width="6" style="235" customWidth="1"/>
    <col min="8196" max="8196" width="10.42578125" style="235" customWidth="1"/>
    <col min="8197" max="8197" width="20.140625" style="235" customWidth="1"/>
    <col min="8198" max="8198" width="27.5703125" style="235" customWidth="1"/>
    <col min="8199" max="8199" width="11.28515625" style="235" customWidth="1"/>
    <col min="8200" max="8200" width="11" style="235" customWidth="1"/>
    <col min="8201" max="8201" width="9.140625" style="235"/>
    <col min="8202" max="8202" width="2.7109375" style="235" customWidth="1"/>
    <col min="8203" max="8448" width="9.140625" style="235"/>
    <col min="8449" max="8449" width="2.28515625" style="235" customWidth="1"/>
    <col min="8450" max="8451" width="6" style="235" customWidth="1"/>
    <col min="8452" max="8452" width="10.42578125" style="235" customWidth="1"/>
    <col min="8453" max="8453" width="20.140625" style="235" customWidth="1"/>
    <col min="8454" max="8454" width="27.5703125" style="235" customWidth="1"/>
    <col min="8455" max="8455" width="11.28515625" style="235" customWidth="1"/>
    <col min="8456" max="8456" width="11" style="235" customWidth="1"/>
    <col min="8457" max="8457" width="9.140625" style="235"/>
    <col min="8458" max="8458" width="2.7109375" style="235" customWidth="1"/>
    <col min="8459" max="8704" width="9.140625" style="235"/>
    <col min="8705" max="8705" width="2.28515625" style="235" customWidth="1"/>
    <col min="8706" max="8707" width="6" style="235" customWidth="1"/>
    <col min="8708" max="8708" width="10.42578125" style="235" customWidth="1"/>
    <col min="8709" max="8709" width="20.140625" style="235" customWidth="1"/>
    <col min="8710" max="8710" width="27.5703125" style="235" customWidth="1"/>
    <col min="8711" max="8711" width="11.28515625" style="235" customWidth="1"/>
    <col min="8712" max="8712" width="11" style="235" customWidth="1"/>
    <col min="8713" max="8713" width="9.140625" style="235"/>
    <col min="8714" max="8714" width="2.7109375" style="235" customWidth="1"/>
    <col min="8715" max="8960" width="9.140625" style="235"/>
    <col min="8961" max="8961" width="2.28515625" style="235" customWidth="1"/>
    <col min="8962" max="8963" width="6" style="235" customWidth="1"/>
    <col min="8964" max="8964" width="10.42578125" style="235" customWidth="1"/>
    <col min="8965" max="8965" width="20.140625" style="235" customWidth="1"/>
    <col min="8966" max="8966" width="27.5703125" style="235" customWidth="1"/>
    <col min="8967" max="8967" width="11.28515625" style="235" customWidth="1"/>
    <col min="8968" max="8968" width="11" style="235" customWidth="1"/>
    <col min="8969" max="8969" width="9.140625" style="235"/>
    <col min="8970" max="8970" width="2.7109375" style="235" customWidth="1"/>
    <col min="8971" max="9216" width="9.140625" style="235"/>
    <col min="9217" max="9217" width="2.28515625" style="235" customWidth="1"/>
    <col min="9218" max="9219" width="6" style="235" customWidth="1"/>
    <col min="9220" max="9220" width="10.42578125" style="235" customWidth="1"/>
    <col min="9221" max="9221" width="20.140625" style="235" customWidth="1"/>
    <col min="9222" max="9222" width="27.5703125" style="235" customWidth="1"/>
    <col min="9223" max="9223" width="11.28515625" style="235" customWidth="1"/>
    <col min="9224" max="9224" width="11" style="235" customWidth="1"/>
    <col min="9225" max="9225" width="9.140625" style="235"/>
    <col min="9226" max="9226" width="2.7109375" style="235" customWidth="1"/>
    <col min="9227" max="9472" width="9.140625" style="235"/>
    <col min="9473" max="9473" width="2.28515625" style="235" customWidth="1"/>
    <col min="9474" max="9475" width="6" style="235" customWidth="1"/>
    <col min="9476" max="9476" width="10.42578125" style="235" customWidth="1"/>
    <col min="9477" max="9477" width="20.140625" style="235" customWidth="1"/>
    <col min="9478" max="9478" width="27.5703125" style="235" customWidth="1"/>
    <col min="9479" max="9479" width="11.28515625" style="235" customWidth="1"/>
    <col min="9480" max="9480" width="11" style="235" customWidth="1"/>
    <col min="9481" max="9481" width="9.140625" style="235"/>
    <col min="9482" max="9482" width="2.7109375" style="235" customWidth="1"/>
    <col min="9483" max="9728" width="9.140625" style="235"/>
    <col min="9729" max="9729" width="2.28515625" style="235" customWidth="1"/>
    <col min="9730" max="9731" width="6" style="235" customWidth="1"/>
    <col min="9732" max="9732" width="10.42578125" style="235" customWidth="1"/>
    <col min="9733" max="9733" width="20.140625" style="235" customWidth="1"/>
    <col min="9734" max="9734" width="27.5703125" style="235" customWidth="1"/>
    <col min="9735" max="9735" width="11.28515625" style="235" customWidth="1"/>
    <col min="9736" max="9736" width="11" style="235" customWidth="1"/>
    <col min="9737" max="9737" width="9.140625" style="235"/>
    <col min="9738" max="9738" width="2.7109375" style="235" customWidth="1"/>
    <col min="9739" max="9984" width="9.140625" style="235"/>
    <col min="9985" max="9985" width="2.28515625" style="235" customWidth="1"/>
    <col min="9986" max="9987" width="6" style="235" customWidth="1"/>
    <col min="9988" max="9988" width="10.42578125" style="235" customWidth="1"/>
    <col min="9989" max="9989" width="20.140625" style="235" customWidth="1"/>
    <col min="9990" max="9990" width="27.5703125" style="235" customWidth="1"/>
    <col min="9991" max="9991" width="11.28515625" style="235" customWidth="1"/>
    <col min="9992" max="9992" width="11" style="235" customWidth="1"/>
    <col min="9993" max="9993" width="9.140625" style="235"/>
    <col min="9994" max="9994" width="2.7109375" style="235" customWidth="1"/>
    <col min="9995" max="10240" width="9.140625" style="235"/>
    <col min="10241" max="10241" width="2.28515625" style="235" customWidth="1"/>
    <col min="10242" max="10243" width="6" style="235" customWidth="1"/>
    <col min="10244" max="10244" width="10.42578125" style="235" customWidth="1"/>
    <col min="10245" max="10245" width="20.140625" style="235" customWidth="1"/>
    <col min="10246" max="10246" width="27.5703125" style="235" customWidth="1"/>
    <col min="10247" max="10247" width="11.28515625" style="235" customWidth="1"/>
    <col min="10248" max="10248" width="11" style="235" customWidth="1"/>
    <col min="10249" max="10249" width="9.140625" style="235"/>
    <col min="10250" max="10250" width="2.7109375" style="235" customWidth="1"/>
    <col min="10251" max="10496" width="9.140625" style="235"/>
    <col min="10497" max="10497" width="2.28515625" style="235" customWidth="1"/>
    <col min="10498" max="10499" width="6" style="235" customWidth="1"/>
    <col min="10500" max="10500" width="10.42578125" style="235" customWidth="1"/>
    <col min="10501" max="10501" width="20.140625" style="235" customWidth="1"/>
    <col min="10502" max="10502" width="27.5703125" style="235" customWidth="1"/>
    <col min="10503" max="10503" width="11.28515625" style="235" customWidth="1"/>
    <col min="10504" max="10504" width="11" style="235" customWidth="1"/>
    <col min="10505" max="10505" width="9.140625" style="235"/>
    <col min="10506" max="10506" width="2.7109375" style="235" customWidth="1"/>
    <col min="10507" max="10752" width="9.140625" style="235"/>
    <col min="10753" max="10753" width="2.28515625" style="235" customWidth="1"/>
    <col min="10754" max="10755" width="6" style="235" customWidth="1"/>
    <col min="10756" max="10756" width="10.42578125" style="235" customWidth="1"/>
    <col min="10757" max="10757" width="20.140625" style="235" customWidth="1"/>
    <col min="10758" max="10758" width="27.5703125" style="235" customWidth="1"/>
    <col min="10759" max="10759" width="11.28515625" style="235" customWidth="1"/>
    <col min="10760" max="10760" width="11" style="235" customWidth="1"/>
    <col min="10761" max="10761" width="9.140625" style="235"/>
    <col min="10762" max="10762" width="2.7109375" style="235" customWidth="1"/>
    <col min="10763" max="11008" width="9.140625" style="235"/>
    <col min="11009" max="11009" width="2.28515625" style="235" customWidth="1"/>
    <col min="11010" max="11011" width="6" style="235" customWidth="1"/>
    <col min="11012" max="11012" width="10.42578125" style="235" customWidth="1"/>
    <col min="11013" max="11013" width="20.140625" style="235" customWidth="1"/>
    <col min="11014" max="11014" width="27.5703125" style="235" customWidth="1"/>
    <col min="11015" max="11015" width="11.28515625" style="235" customWidth="1"/>
    <col min="11016" max="11016" width="11" style="235" customWidth="1"/>
    <col min="11017" max="11017" width="9.140625" style="235"/>
    <col min="11018" max="11018" width="2.7109375" style="235" customWidth="1"/>
    <col min="11019" max="11264" width="9.140625" style="235"/>
    <col min="11265" max="11265" width="2.28515625" style="235" customWidth="1"/>
    <col min="11266" max="11267" width="6" style="235" customWidth="1"/>
    <col min="11268" max="11268" width="10.42578125" style="235" customWidth="1"/>
    <col min="11269" max="11269" width="20.140625" style="235" customWidth="1"/>
    <col min="11270" max="11270" width="27.5703125" style="235" customWidth="1"/>
    <col min="11271" max="11271" width="11.28515625" style="235" customWidth="1"/>
    <col min="11272" max="11272" width="11" style="235" customWidth="1"/>
    <col min="11273" max="11273" width="9.140625" style="235"/>
    <col min="11274" max="11274" width="2.7109375" style="235" customWidth="1"/>
    <col min="11275" max="11520" width="9.140625" style="235"/>
    <col min="11521" max="11521" width="2.28515625" style="235" customWidth="1"/>
    <col min="11522" max="11523" width="6" style="235" customWidth="1"/>
    <col min="11524" max="11524" width="10.42578125" style="235" customWidth="1"/>
    <col min="11525" max="11525" width="20.140625" style="235" customWidth="1"/>
    <col min="11526" max="11526" width="27.5703125" style="235" customWidth="1"/>
    <col min="11527" max="11527" width="11.28515625" style="235" customWidth="1"/>
    <col min="11528" max="11528" width="11" style="235" customWidth="1"/>
    <col min="11529" max="11529" width="9.140625" style="235"/>
    <col min="11530" max="11530" width="2.7109375" style="235" customWidth="1"/>
    <col min="11531" max="11776" width="9.140625" style="235"/>
    <col min="11777" max="11777" width="2.28515625" style="235" customWidth="1"/>
    <col min="11778" max="11779" width="6" style="235" customWidth="1"/>
    <col min="11780" max="11780" width="10.42578125" style="235" customWidth="1"/>
    <col min="11781" max="11781" width="20.140625" style="235" customWidth="1"/>
    <col min="11782" max="11782" width="27.5703125" style="235" customWidth="1"/>
    <col min="11783" max="11783" width="11.28515625" style="235" customWidth="1"/>
    <col min="11784" max="11784" width="11" style="235" customWidth="1"/>
    <col min="11785" max="11785" width="9.140625" style="235"/>
    <col min="11786" max="11786" width="2.7109375" style="235" customWidth="1"/>
    <col min="11787" max="12032" width="9.140625" style="235"/>
    <col min="12033" max="12033" width="2.28515625" style="235" customWidth="1"/>
    <col min="12034" max="12035" width="6" style="235" customWidth="1"/>
    <col min="12036" max="12036" width="10.42578125" style="235" customWidth="1"/>
    <col min="12037" max="12037" width="20.140625" style="235" customWidth="1"/>
    <col min="12038" max="12038" width="27.5703125" style="235" customWidth="1"/>
    <col min="12039" max="12039" width="11.28515625" style="235" customWidth="1"/>
    <col min="12040" max="12040" width="11" style="235" customWidth="1"/>
    <col min="12041" max="12041" width="9.140625" style="235"/>
    <col min="12042" max="12042" width="2.7109375" style="235" customWidth="1"/>
    <col min="12043" max="12288" width="9.140625" style="235"/>
    <col min="12289" max="12289" width="2.28515625" style="235" customWidth="1"/>
    <col min="12290" max="12291" width="6" style="235" customWidth="1"/>
    <col min="12292" max="12292" width="10.42578125" style="235" customWidth="1"/>
    <col min="12293" max="12293" width="20.140625" style="235" customWidth="1"/>
    <col min="12294" max="12294" width="27.5703125" style="235" customWidth="1"/>
    <col min="12295" max="12295" width="11.28515625" style="235" customWidth="1"/>
    <col min="12296" max="12296" width="11" style="235" customWidth="1"/>
    <col min="12297" max="12297" width="9.140625" style="235"/>
    <col min="12298" max="12298" width="2.7109375" style="235" customWidth="1"/>
    <col min="12299" max="12544" width="9.140625" style="235"/>
    <col min="12545" max="12545" width="2.28515625" style="235" customWidth="1"/>
    <col min="12546" max="12547" width="6" style="235" customWidth="1"/>
    <col min="12548" max="12548" width="10.42578125" style="235" customWidth="1"/>
    <col min="12549" max="12549" width="20.140625" style="235" customWidth="1"/>
    <col min="12550" max="12550" width="27.5703125" style="235" customWidth="1"/>
    <col min="12551" max="12551" width="11.28515625" style="235" customWidth="1"/>
    <col min="12552" max="12552" width="11" style="235" customWidth="1"/>
    <col min="12553" max="12553" width="9.140625" style="235"/>
    <col min="12554" max="12554" width="2.7109375" style="235" customWidth="1"/>
    <col min="12555" max="12800" width="9.140625" style="235"/>
    <col min="12801" max="12801" width="2.28515625" style="235" customWidth="1"/>
    <col min="12802" max="12803" width="6" style="235" customWidth="1"/>
    <col min="12804" max="12804" width="10.42578125" style="235" customWidth="1"/>
    <col min="12805" max="12805" width="20.140625" style="235" customWidth="1"/>
    <col min="12806" max="12806" width="27.5703125" style="235" customWidth="1"/>
    <col min="12807" max="12807" width="11.28515625" style="235" customWidth="1"/>
    <col min="12808" max="12808" width="11" style="235" customWidth="1"/>
    <col min="12809" max="12809" width="9.140625" style="235"/>
    <col min="12810" max="12810" width="2.7109375" style="235" customWidth="1"/>
    <col min="12811" max="13056" width="9.140625" style="235"/>
    <col min="13057" max="13057" width="2.28515625" style="235" customWidth="1"/>
    <col min="13058" max="13059" width="6" style="235" customWidth="1"/>
    <col min="13060" max="13060" width="10.42578125" style="235" customWidth="1"/>
    <col min="13061" max="13061" width="20.140625" style="235" customWidth="1"/>
    <col min="13062" max="13062" width="27.5703125" style="235" customWidth="1"/>
    <col min="13063" max="13063" width="11.28515625" style="235" customWidth="1"/>
    <col min="13064" max="13064" width="11" style="235" customWidth="1"/>
    <col min="13065" max="13065" width="9.140625" style="235"/>
    <col min="13066" max="13066" width="2.7109375" style="235" customWidth="1"/>
    <col min="13067" max="13312" width="9.140625" style="235"/>
    <col min="13313" max="13313" width="2.28515625" style="235" customWidth="1"/>
    <col min="13314" max="13315" width="6" style="235" customWidth="1"/>
    <col min="13316" max="13316" width="10.42578125" style="235" customWidth="1"/>
    <col min="13317" max="13317" width="20.140625" style="235" customWidth="1"/>
    <col min="13318" max="13318" width="27.5703125" style="235" customWidth="1"/>
    <col min="13319" max="13319" width="11.28515625" style="235" customWidth="1"/>
    <col min="13320" max="13320" width="11" style="235" customWidth="1"/>
    <col min="13321" max="13321" width="9.140625" style="235"/>
    <col min="13322" max="13322" width="2.7109375" style="235" customWidth="1"/>
    <col min="13323" max="13568" width="9.140625" style="235"/>
    <col min="13569" max="13569" width="2.28515625" style="235" customWidth="1"/>
    <col min="13570" max="13571" width="6" style="235" customWidth="1"/>
    <col min="13572" max="13572" width="10.42578125" style="235" customWidth="1"/>
    <col min="13573" max="13573" width="20.140625" style="235" customWidth="1"/>
    <col min="13574" max="13574" width="27.5703125" style="235" customWidth="1"/>
    <col min="13575" max="13575" width="11.28515625" style="235" customWidth="1"/>
    <col min="13576" max="13576" width="11" style="235" customWidth="1"/>
    <col min="13577" max="13577" width="9.140625" style="235"/>
    <col min="13578" max="13578" width="2.7109375" style="235" customWidth="1"/>
    <col min="13579" max="13824" width="9.140625" style="235"/>
    <col min="13825" max="13825" width="2.28515625" style="235" customWidth="1"/>
    <col min="13826" max="13827" width="6" style="235" customWidth="1"/>
    <col min="13828" max="13828" width="10.42578125" style="235" customWidth="1"/>
    <col min="13829" max="13829" width="20.140625" style="235" customWidth="1"/>
    <col min="13830" max="13830" width="27.5703125" style="235" customWidth="1"/>
    <col min="13831" max="13831" width="11.28515625" style="235" customWidth="1"/>
    <col min="13832" max="13832" width="11" style="235" customWidth="1"/>
    <col min="13833" max="13833" width="9.140625" style="235"/>
    <col min="13834" max="13834" width="2.7109375" style="235" customWidth="1"/>
    <col min="13835" max="14080" width="9.140625" style="235"/>
    <col min="14081" max="14081" width="2.28515625" style="235" customWidth="1"/>
    <col min="14082" max="14083" width="6" style="235" customWidth="1"/>
    <col min="14084" max="14084" width="10.42578125" style="235" customWidth="1"/>
    <col min="14085" max="14085" width="20.140625" style="235" customWidth="1"/>
    <col min="14086" max="14086" width="27.5703125" style="235" customWidth="1"/>
    <col min="14087" max="14087" width="11.28515625" style="235" customWidth="1"/>
    <col min="14088" max="14088" width="11" style="235" customWidth="1"/>
    <col min="14089" max="14089" width="9.140625" style="235"/>
    <col min="14090" max="14090" width="2.7109375" style="235" customWidth="1"/>
    <col min="14091" max="14336" width="9.140625" style="235"/>
    <col min="14337" max="14337" width="2.28515625" style="235" customWidth="1"/>
    <col min="14338" max="14339" width="6" style="235" customWidth="1"/>
    <col min="14340" max="14340" width="10.42578125" style="235" customWidth="1"/>
    <col min="14341" max="14341" width="20.140625" style="235" customWidth="1"/>
    <col min="14342" max="14342" width="27.5703125" style="235" customWidth="1"/>
    <col min="14343" max="14343" width="11.28515625" style="235" customWidth="1"/>
    <col min="14344" max="14344" width="11" style="235" customWidth="1"/>
    <col min="14345" max="14345" width="9.140625" style="235"/>
    <col min="14346" max="14346" width="2.7109375" style="235" customWidth="1"/>
    <col min="14347" max="14592" width="9.140625" style="235"/>
    <col min="14593" max="14593" width="2.28515625" style="235" customWidth="1"/>
    <col min="14594" max="14595" width="6" style="235" customWidth="1"/>
    <col min="14596" max="14596" width="10.42578125" style="235" customWidth="1"/>
    <col min="14597" max="14597" width="20.140625" style="235" customWidth="1"/>
    <col min="14598" max="14598" width="27.5703125" style="235" customWidth="1"/>
    <col min="14599" max="14599" width="11.28515625" style="235" customWidth="1"/>
    <col min="14600" max="14600" width="11" style="235" customWidth="1"/>
    <col min="14601" max="14601" width="9.140625" style="235"/>
    <col min="14602" max="14602" width="2.7109375" style="235" customWidth="1"/>
    <col min="14603" max="14848" width="9.140625" style="235"/>
    <col min="14849" max="14849" width="2.28515625" style="235" customWidth="1"/>
    <col min="14850" max="14851" width="6" style="235" customWidth="1"/>
    <col min="14852" max="14852" width="10.42578125" style="235" customWidth="1"/>
    <col min="14853" max="14853" width="20.140625" style="235" customWidth="1"/>
    <col min="14854" max="14854" width="27.5703125" style="235" customWidth="1"/>
    <col min="14855" max="14855" width="11.28515625" style="235" customWidth="1"/>
    <col min="14856" max="14856" width="11" style="235" customWidth="1"/>
    <col min="14857" max="14857" width="9.140625" style="235"/>
    <col min="14858" max="14858" width="2.7109375" style="235" customWidth="1"/>
    <col min="14859" max="15104" width="9.140625" style="235"/>
    <col min="15105" max="15105" width="2.28515625" style="235" customWidth="1"/>
    <col min="15106" max="15107" width="6" style="235" customWidth="1"/>
    <col min="15108" max="15108" width="10.42578125" style="235" customWidth="1"/>
    <col min="15109" max="15109" width="20.140625" style="235" customWidth="1"/>
    <col min="15110" max="15110" width="27.5703125" style="235" customWidth="1"/>
    <col min="15111" max="15111" width="11.28515625" style="235" customWidth="1"/>
    <col min="15112" max="15112" width="11" style="235" customWidth="1"/>
    <col min="15113" max="15113" width="9.140625" style="235"/>
    <col min="15114" max="15114" width="2.7109375" style="235" customWidth="1"/>
    <col min="15115" max="15360" width="9.140625" style="235"/>
    <col min="15361" max="15361" width="2.28515625" style="235" customWidth="1"/>
    <col min="15362" max="15363" width="6" style="235" customWidth="1"/>
    <col min="15364" max="15364" width="10.42578125" style="235" customWidth="1"/>
    <col min="15365" max="15365" width="20.140625" style="235" customWidth="1"/>
    <col min="15366" max="15366" width="27.5703125" style="235" customWidth="1"/>
    <col min="15367" max="15367" width="11.28515625" style="235" customWidth="1"/>
    <col min="15368" max="15368" width="11" style="235" customWidth="1"/>
    <col min="15369" max="15369" width="9.140625" style="235"/>
    <col min="15370" max="15370" width="2.7109375" style="235" customWidth="1"/>
    <col min="15371" max="15616" width="9.140625" style="235"/>
    <col min="15617" max="15617" width="2.28515625" style="235" customWidth="1"/>
    <col min="15618" max="15619" width="6" style="235" customWidth="1"/>
    <col min="15620" max="15620" width="10.42578125" style="235" customWidth="1"/>
    <col min="15621" max="15621" width="20.140625" style="235" customWidth="1"/>
    <col min="15622" max="15622" width="27.5703125" style="235" customWidth="1"/>
    <col min="15623" max="15623" width="11.28515625" style="235" customWidth="1"/>
    <col min="15624" max="15624" width="11" style="235" customWidth="1"/>
    <col min="15625" max="15625" width="9.140625" style="235"/>
    <col min="15626" max="15626" width="2.7109375" style="235" customWidth="1"/>
    <col min="15627" max="15872" width="9.140625" style="235"/>
    <col min="15873" max="15873" width="2.28515625" style="235" customWidth="1"/>
    <col min="15874" max="15875" width="6" style="235" customWidth="1"/>
    <col min="15876" max="15876" width="10.42578125" style="235" customWidth="1"/>
    <col min="15877" max="15877" width="20.140625" style="235" customWidth="1"/>
    <col min="15878" max="15878" width="27.5703125" style="235" customWidth="1"/>
    <col min="15879" max="15879" width="11.28515625" style="235" customWidth="1"/>
    <col min="15880" max="15880" width="11" style="235" customWidth="1"/>
    <col min="15881" max="15881" width="9.140625" style="235"/>
    <col min="15882" max="15882" width="2.7109375" style="235" customWidth="1"/>
    <col min="15883" max="16128" width="9.140625" style="235"/>
    <col min="16129" max="16129" width="2.28515625" style="235" customWidth="1"/>
    <col min="16130" max="16131" width="6" style="235" customWidth="1"/>
    <col min="16132" max="16132" width="10.42578125" style="235" customWidth="1"/>
    <col min="16133" max="16133" width="20.140625" style="235" customWidth="1"/>
    <col min="16134" max="16134" width="27.5703125" style="235" customWidth="1"/>
    <col min="16135" max="16135" width="11.28515625" style="235" customWidth="1"/>
    <col min="16136" max="16136" width="11" style="235" customWidth="1"/>
    <col min="16137" max="16137" width="9.140625" style="235"/>
    <col min="16138" max="16138" width="2.7109375" style="235" customWidth="1"/>
    <col min="16139" max="16384" width="9.140625" style="235"/>
  </cols>
  <sheetData>
    <row r="2" spans="2:17">
      <c r="B2" s="234" t="s">
        <v>258</v>
      </c>
    </row>
    <row r="3" spans="2:17">
      <c r="B3" s="234" t="s">
        <v>259</v>
      </c>
    </row>
    <row r="4" spans="2:17">
      <c r="B4" s="234"/>
    </row>
    <row r="5" spans="2:17">
      <c r="F5" s="238" t="str">
        <f>IF(E6="Empresa","digite o nome da empresa","digite o nome do Município")</f>
        <v>digite o nome do Município</v>
      </c>
      <c r="G5" s="239"/>
      <c r="H5" s="240" t="s">
        <v>260</v>
      </c>
      <c r="I5" s="239" t="s">
        <v>261</v>
      </c>
      <c r="J5" s="241"/>
    </row>
    <row r="6" spans="2:17">
      <c r="B6" s="242" t="s">
        <v>262</v>
      </c>
      <c r="E6" s="243" t="s">
        <v>260</v>
      </c>
      <c r="F6" s="244" t="s">
        <v>263</v>
      </c>
      <c r="G6" s="237" t="str">
        <f>IF(E6="empresa","",E6)</f>
        <v>Prefeitura Municipal de</v>
      </c>
      <c r="H6" s="245"/>
      <c r="I6" s="245"/>
      <c r="J6" s="246"/>
      <c r="O6" s="247"/>
      <c r="P6" s="247"/>
      <c r="Q6" s="247"/>
    </row>
    <row r="7" spans="2:17">
      <c r="B7" s="242" t="s">
        <v>264</v>
      </c>
      <c r="E7" s="940" t="s">
        <v>263</v>
      </c>
      <c r="F7" s="941"/>
      <c r="G7" s="237"/>
      <c r="H7" s="245"/>
      <c r="I7" s="245"/>
      <c r="J7" s="246"/>
      <c r="O7" s="247"/>
      <c r="P7" s="247"/>
      <c r="Q7" s="247"/>
    </row>
    <row r="8" spans="2:17">
      <c r="B8" s="242" t="s">
        <v>265</v>
      </c>
      <c r="E8" s="938" t="s">
        <v>266</v>
      </c>
      <c r="F8" s="939"/>
      <c r="H8" s="248"/>
      <c r="I8" s="248"/>
      <c r="J8" s="246"/>
      <c r="O8" s="247"/>
      <c r="P8" s="247"/>
      <c r="Q8" s="247"/>
    </row>
    <row r="9" spans="2:17">
      <c r="B9" s="242" t="s">
        <v>267</v>
      </c>
      <c r="E9" s="938" t="s">
        <v>268</v>
      </c>
      <c r="F9" s="939"/>
      <c r="H9" s="248"/>
      <c r="I9" s="248"/>
      <c r="J9" s="246"/>
      <c r="O9" s="247"/>
      <c r="P9" s="247"/>
      <c r="Q9" s="247"/>
    </row>
    <row r="10" spans="2:17">
      <c r="B10" s="242" t="s">
        <v>269</v>
      </c>
      <c r="E10" s="938" t="s">
        <v>270</v>
      </c>
      <c r="F10" s="939"/>
      <c r="H10" s="248"/>
      <c r="I10" s="248"/>
      <c r="J10" s="246"/>
      <c r="O10" s="247"/>
      <c r="P10" s="247"/>
      <c r="Q10" s="247"/>
    </row>
    <row r="11" spans="2:17">
      <c r="B11" s="242" t="s">
        <v>257</v>
      </c>
      <c r="E11" s="942">
        <f ca="1">TODAY()</f>
        <v>43546</v>
      </c>
      <c r="F11" s="941"/>
      <c r="H11" s="248"/>
      <c r="I11" s="248"/>
      <c r="J11" s="246"/>
      <c r="O11" s="247"/>
      <c r="P11" s="247"/>
      <c r="Q11" s="247"/>
    </row>
    <row r="12" spans="2:17">
      <c r="B12" s="242"/>
      <c r="E12" s="248"/>
      <c r="F12" s="248"/>
      <c r="H12" s="248"/>
      <c r="I12" s="248"/>
      <c r="J12" s="246"/>
      <c r="O12" s="247"/>
      <c r="P12" s="247"/>
      <c r="Q12" s="247"/>
    </row>
    <row r="13" spans="2:17">
      <c r="B13" s="242" t="s">
        <v>271</v>
      </c>
      <c r="E13" s="943" t="s">
        <v>272</v>
      </c>
      <c r="F13" s="943"/>
      <c r="H13" s="248"/>
      <c r="I13" s="248"/>
      <c r="J13" s="246"/>
      <c r="O13" s="247"/>
      <c r="P13" s="247"/>
      <c r="Q13" s="247"/>
    </row>
    <row r="14" spans="2:17">
      <c r="B14" s="944" t="s">
        <v>273</v>
      </c>
      <c r="C14" s="944"/>
      <c r="D14" s="944"/>
      <c r="E14" s="945" t="s">
        <v>363</v>
      </c>
      <c r="F14" s="943"/>
      <c r="H14" s="245" t="s">
        <v>274</v>
      </c>
      <c r="I14" s="245" t="s">
        <v>275</v>
      </c>
      <c r="J14" s="246"/>
      <c r="O14" s="247"/>
      <c r="P14" s="247"/>
      <c r="Q14" s="247"/>
    </row>
    <row r="15" spans="2:17">
      <c r="B15" s="249"/>
      <c r="C15" s="249"/>
      <c r="D15" s="249"/>
      <c r="E15" s="250"/>
      <c r="F15" s="250"/>
      <c r="H15" s="245"/>
      <c r="I15" s="245"/>
      <c r="J15" s="246"/>
      <c r="O15" s="247"/>
      <c r="P15" s="247"/>
      <c r="Q15" s="247"/>
    </row>
    <row r="16" spans="2:17">
      <c r="B16" s="242" t="s">
        <v>276</v>
      </c>
      <c r="E16" s="945" t="s">
        <v>364</v>
      </c>
      <c r="F16" s="943"/>
      <c r="H16" s="245"/>
      <c r="I16" s="245"/>
      <c r="J16" s="246"/>
      <c r="O16" s="247"/>
      <c r="P16" s="247"/>
      <c r="Q16" s="247"/>
    </row>
    <row r="17" spans="2:17">
      <c r="B17" s="242" t="s">
        <v>277</v>
      </c>
      <c r="E17" s="945" t="s">
        <v>365</v>
      </c>
      <c r="F17" s="943"/>
      <c r="H17" s="245"/>
      <c r="I17" s="245"/>
      <c r="J17" s="246"/>
      <c r="O17" s="247"/>
      <c r="P17" s="247"/>
      <c r="Q17" s="247"/>
    </row>
    <row r="18" spans="2:17">
      <c r="H18" s="245"/>
      <c r="I18" s="245"/>
      <c r="J18" s="246"/>
      <c r="O18" s="247"/>
      <c r="P18" s="247"/>
      <c r="Q18" s="247"/>
    </row>
    <row r="19" spans="2:17">
      <c r="B19" s="251" t="s">
        <v>278</v>
      </c>
      <c r="E19" s="943" t="s">
        <v>279</v>
      </c>
      <c r="F19" s="943"/>
      <c r="G19" s="237" t="s">
        <v>279</v>
      </c>
      <c r="H19" s="237" t="s">
        <v>280</v>
      </c>
      <c r="I19" s="239"/>
      <c r="J19" s="246"/>
      <c r="L19" s="237" t="s">
        <v>270</v>
      </c>
      <c r="M19" s="237" t="s">
        <v>281</v>
      </c>
      <c r="O19" s="247"/>
      <c r="P19" s="247"/>
      <c r="Q19" s="247"/>
    </row>
    <row r="20" spans="2:17">
      <c r="B20" s="251"/>
      <c r="E20" s="242"/>
      <c r="F20" s="241"/>
      <c r="H20" s="252"/>
      <c r="I20" s="252"/>
      <c r="J20" s="246"/>
      <c r="O20" s="247"/>
      <c r="P20" s="247"/>
      <c r="Q20" s="247"/>
    </row>
    <row r="21" spans="2:17">
      <c r="B21" s="242" t="s">
        <v>282</v>
      </c>
      <c r="E21" s="253">
        <v>2</v>
      </c>
      <c r="F21" s="252" t="s">
        <v>231</v>
      </c>
      <c r="G21" s="237">
        <v>2</v>
      </c>
      <c r="H21" s="239">
        <v>5</v>
      </c>
      <c r="I21" s="239"/>
      <c r="J21" s="246"/>
      <c r="O21" s="247"/>
      <c r="P21" s="247"/>
      <c r="Q21" s="247"/>
    </row>
    <row r="22" spans="2:17">
      <c r="B22" s="242" t="s">
        <v>283</v>
      </c>
      <c r="E22" s="938" t="s">
        <v>285</v>
      </c>
      <c r="F22" s="939"/>
      <c r="G22" s="237"/>
      <c r="H22" s="245"/>
      <c r="I22" s="245"/>
      <c r="J22" s="246"/>
      <c r="L22" s="237" t="s">
        <v>285</v>
      </c>
      <c r="M22" s="237" t="s">
        <v>284</v>
      </c>
      <c r="O22" s="247"/>
      <c r="P22" s="247"/>
      <c r="Q22" s="247"/>
    </row>
    <row r="23" spans="2:17" ht="12.75" customHeight="1">
      <c r="B23" s="955" t="s">
        <v>286</v>
      </c>
      <c r="C23" s="955"/>
      <c r="D23" s="955"/>
      <c r="E23" s="254">
        <v>60</v>
      </c>
      <c r="F23" s="252" t="s">
        <v>231</v>
      </c>
      <c r="H23" s="252"/>
      <c r="I23" s="252"/>
      <c r="J23" s="246"/>
      <c r="O23" s="247"/>
      <c r="P23" s="247"/>
      <c r="Q23" s="247"/>
    </row>
    <row r="24" spans="2:17">
      <c r="B24" s="955"/>
      <c r="C24" s="955"/>
      <c r="D24" s="955"/>
      <c r="G24" s="241"/>
      <c r="H24" s="255"/>
      <c r="I24" s="241"/>
      <c r="J24" s="246"/>
      <c r="O24" s="247"/>
      <c r="P24" s="247"/>
      <c r="Q24" s="247"/>
    </row>
    <row r="25" spans="2:17" ht="5.25" customHeight="1">
      <c r="B25" s="955"/>
      <c r="C25" s="955"/>
      <c r="D25" s="955"/>
      <c r="G25" s="241"/>
      <c r="H25" s="255"/>
      <c r="I25" s="241"/>
      <c r="J25" s="246"/>
      <c r="O25" s="247"/>
      <c r="P25" s="247"/>
      <c r="Q25" s="247"/>
    </row>
    <row r="26" spans="2:17" ht="5.25" customHeight="1">
      <c r="B26" s="955"/>
      <c r="C26" s="955"/>
      <c r="D26" s="955"/>
      <c r="J26" s="247"/>
      <c r="O26" s="247"/>
      <c r="P26" s="247"/>
      <c r="Q26" s="247"/>
    </row>
    <row r="27" spans="2:17" ht="5.25" customHeight="1"/>
    <row r="28" spans="2:17" ht="5.25" customHeight="1" thickBot="1"/>
    <row r="29" spans="2:17" ht="16.5" thickBot="1">
      <c r="B29" s="956" t="s">
        <v>287</v>
      </c>
      <c r="C29" s="957"/>
      <c r="D29" s="957"/>
      <c r="E29" s="957"/>
      <c r="F29" s="957"/>
      <c r="G29" s="957"/>
      <c r="H29" s="957"/>
      <c r="I29" s="958"/>
      <c r="O29" s="237"/>
      <c r="P29" s="237"/>
      <c r="Q29" s="237"/>
    </row>
    <row r="30" spans="2:17" ht="6" customHeight="1" thickBot="1">
      <c r="O30" s="237"/>
      <c r="P30" s="237"/>
      <c r="Q30" s="237"/>
    </row>
    <row r="31" spans="2:17" ht="26.25" customHeight="1" thickBot="1">
      <c r="B31" s="959" t="s">
        <v>288</v>
      </c>
      <c r="C31" s="960"/>
      <c r="D31" s="961" t="s">
        <v>289</v>
      </c>
      <c r="E31" s="961"/>
      <c r="F31" s="961"/>
      <c r="G31" s="961"/>
      <c r="H31" s="961"/>
      <c r="I31" s="962"/>
      <c r="O31" s="237"/>
      <c r="P31" s="237"/>
      <c r="Q31" s="237"/>
    </row>
    <row r="32" spans="2:17" ht="5.25" customHeight="1" thickBot="1">
      <c r="O32" s="237"/>
      <c r="P32" s="237"/>
      <c r="Q32" s="237"/>
    </row>
    <row r="33" spans="2:17" ht="13.5" thickBot="1">
      <c r="B33" s="963" t="s">
        <v>290</v>
      </c>
      <c r="C33" s="964"/>
      <c r="D33" s="964"/>
      <c r="E33" s="964"/>
      <c r="F33" s="964"/>
      <c r="G33" s="256" t="s">
        <v>291</v>
      </c>
      <c r="H33" s="256" t="s">
        <v>292</v>
      </c>
      <c r="I33" s="257" t="s">
        <v>293</v>
      </c>
      <c r="M33" s="237" t="s">
        <v>294</v>
      </c>
      <c r="O33" s="237"/>
      <c r="P33" s="237" t="s">
        <v>295</v>
      </c>
      <c r="Q33" s="237" t="s">
        <v>293</v>
      </c>
    </row>
    <row r="34" spans="2:17">
      <c r="B34" s="258" t="s">
        <v>202</v>
      </c>
      <c r="C34" s="965" t="s">
        <v>296</v>
      </c>
      <c r="D34" s="966"/>
      <c r="E34" s="966"/>
      <c r="F34" s="967"/>
      <c r="G34" s="259">
        <v>4.67</v>
      </c>
      <c r="H34" s="260">
        <f>VLOOKUP(J34,$O$34:$Q$74,2,FALSE)</f>
        <v>3.8</v>
      </c>
      <c r="I34" s="260">
        <f>VLOOKUP(J34,$O$34:$Q$74,3,FALSE)</f>
        <v>4.67</v>
      </c>
      <c r="J34" s="237" t="str">
        <f>CONCATENATE(LEFT($D$31,1),"a")</f>
        <v>2a</v>
      </c>
      <c r="K34" s="237">
        <v>0</v>
      </c>
      <c r="L34" s="237">
        <f>IF($G$51&gt;$I$51,I34,10000)</f>
        <v>10000</v>
      </c>
      <c r="M34" s="237" t="s">
        <v>289</v>
      </c>
      <c r="O34" s="237" t="s">
        <v>297</v>
      </c>
      <c r="P34" s="261">
        <v>3</v>
      </c>
      <c r="Q34" s="261">
        <v>5.5</v>
      </c>
    </row>
    <row r="35" spans="2:17">
      <c r="B35" s="262" t="s">
        <v>298</v>
      </c>
      <c r="C35" s="968" t="s">
        <v>299</v>
      </c>
      <c r="D35" s="969"/>
      <c r="E35" s="969"/>
      <c r="F35" s="970"/>
      <c r="G35" s="259">
        <v>0.74</v>
      </c>
      <c r="H35" s="260">
        <f>VLOOKUP(J35,$O$34:$Q$74,2,FALSE)</f>
        <v>0.32</v>
      </c>
      <c r="I35" s="260">
        <f>VLOOKUP(J35,$O$34:$Q$74,3,FALSE)</f>
        <v>0.74</v>
      </c>
      <c r="J35" s="237" t="str">
        <f>CONCATENATE(LEFT($D$31,1),"b")</f>
        <v>2b</v>
      </c>
      <c r="K35" s="237">
        <v>0</v>
      </c>
      <c r="L35" s="237">
        <f>IF($G$51&gt;$I$51,I35,10000)</f>
        <v>10000</v>
      </c>
      <c r="M35" s="237" t="s">
        <v>300</v>
      </c>
      <c r="O35" s="237" t="s">
        <v>301</v>
      </c>
      <c r="P35" s="261">
        <v>0.8</v>
      </c>
      <c r="Q35" s="261">
        <v>1</v>
      </c>
    </row>
    <row r="36" spans="2:17">
      <c r="B36" s="262" t="s">
        <v>203</v>
      </c>
      <c r="C36" s="968" t="s">
        <v>302</v>
      </c>
      <c r="D36" s="969"/>
      <c r="E36" s="969"/>
      <c r="F36" s="970"/>
      <c r="G36" s="259">
        <v>0.97</v>
      </c>
      <c r="H36" s="260">
        <f>VLOOKUP(J36,$O$34:$Q$74,2,FALSE)</f>
        <v>0.5</v>
      </c>
      <c r="I36" s="260">
        <f>VLOOKUP(J36,$O$34:$Q$74,3,FALSE)</f>
        <v>0.97</v>
      </c>
      <c r="J36" s="237" t="str">
        <f>CONCATENATE(LEFT($D$31,1),"c")</f>
        <v>2c</v>
      </c>
      <c r="K36" s="237">
        <v>0</v>
      </c>
      <c r="L36" s="237">
        <f>IF($G$51&gt;$I$51,I36,10000)</f>
        <v>10000</v>
      </c>
      <c r="M36" s="237" t="s">
        <v>303</v>
      </c>
      <c r="O36" s="237" t="s">
        <v>304</v>
      </c>
      <c r="P36" s="261">
        <v>0.97</v>
      </c>
      <c r="Q36" s="261">
        <v>1.27</v>
      </c>
    </row>
    <row r="37" spans="2:17">
      <c r="B37" s="262" t="s">
        <v>204</v>
      </c>
      <c r="C37" s="952" t="s">
        <v>305</v>
      </c>
      <c r="D37" s="953"/>
      <c r="E37" s="953"/>
      <c r="F37" s="970"/>
      <c r="G37" s="259">
        <v>1.21</v>
      </c>
      <c r="H37" s="260">
        <f>VLOOKUP(J37,$O$34:$Q$74,2,FALSE)</f>
        <v>1.02</v>
      </c>
      <c r="I37" s="260">
        <f>VLOOKUP(J37,$O$34:$Q$74,3,FALSE)</f>
        <v>1.21</v>
      </c>
      <c r="J37" s="237" t="str">
        <f>CONCATENATE(LEFT($D$31,1),"d")</f>
        <v>2d</v>
      </c>
      <c r="K37" s="237">
        <v>0</v>
      </c>
      <c r="L37" s="237">
        <f>IF($G$51&gt;$I$51,I37,10000)</f>
        <v>10000</v>
      </c>
      <c r="M37" s="237" t="s">
        <v>306</v>
      </c>
      <c r="O37" s="237" t="s">
        <v>307</v>
      </c>
      <c r="P37" s="261">
        <v>0.59</v>
      </c>
      <c r="Q37" s="261">
        <v>1.39</v>
      </c>
    </row>
    <row r="38" spans="2:17">
      <c r="B38" s="262" t="s">
        <v>205</v>
      </c>
      <c r="C38" s="968" t="s">
        <v>308</v>
      </c>
      <c r="D38" s="969"/>
      <c r="E38" s="969"/>
      <c r="F38" s="970"/>
      <c r="G38" s="259">
        <v>8.69</v>
      </c>
      <c r="H38" s="260">
        <f>VLOOKUP(J38,$O$34:$Q$74,2,FALSE)</f>
        <v>6.64</v>
      </c>
      <c r="I38" s="260">
        <f>VLOOKUP(J38,$O$34:$Q$74,3,FALSE)</f>
        <v>8.69</v>
      </c>
      <c r="J38" s="237" t="str">
        <f>CONCATENATE(LEFT($D$31,1),"e")</f>
        <v>2e</v>
      </c>
      <c r="K38" s="237">
        <v>0</v>
      </c>
      <c r="L38" s="237">
        <f>IF($G$51&gt;$I$51,I38,10000)</f>
        <v>10000</v>
      </c>
      <c r="M38" s="237" t="s">
        <v>309</v>
      </c>
      <c r="O38" s="237" t="s">
        <v>310</v>
      </c>
      <c r="P38" s="261">
        <v>6.16</v>
      </c>
      <c r="Q38" s="261">
        <v>8.9600000000000009</v>
      </c>
    </row>
    <row r="39" spans="2:17">
      <c r="B39" s="262" t="s">
        <v>206</v>
      </c>
      <c r="C39" s="971" t="s">
        <v>311</v>
      </c>
      <c r="D39" s="972"/>
      <c r="E39" s="972"/>
      <c r="F39" s="973"/>
      <c r="G39" s="263">
        <f>G40+G41+G42</f>
        <v>5.65</v>
      </c>
      <c r="H39" s="946" t="s">
        <v>312</v>
      </c>
      <c r="I39" s="947"/>
      <c r="O39" s="237" t="s">
        <v>313</v>
      </c>
      <c r="P39" s="261">
        <v>3.8</v>
      </c>
      <c r="Q39" s="261">
        <v>4.67</v>
      </c>
    </row>
    <row r="40" spans="2:17">
      <c r="B40" s="262"/>
      <c r="C40" s="264"/>
      <c r="D40" s="265" t="s">
        <v>238</v>
      </c>
      <c r="E40" s="266"/>
      <c r="F40" s="267"/>
      <c r="G40" s="268">
        <v>0.65</v>
      </c>
      <c r="H40" s="948"/>
      <c r="I40" s="949"/>
      <c r="K40" s="237">
        <v>0</v>
      </c>
      <c r="L40" s="237">
        <f>IF($G$51&gt;$I$51,3,10000)</f>
        <v>10000</v>
      </c>
      <c r="O40" s="237"/>
      <c r="P40" s="261"/>
      <c r="Q40" s="261"/>
    </row>
    <row r="41" spans="2:17">
      <c r="B41" s="262"/>
      <c r="C41" s="269"/>
      <c r="D41" s="270" t="s">
        <v>314</v>
      </c>
      <c r="E41" s="269"/>
      <c r="F41" s="271"/>
      <c r="G41" s="268">
        <v>3</v>
      </c>
      <c r="H41" s="948"/>
      <c r="I41" s="949"/>
      <c r="K41" s="237">
        <v>0</v>
      </c>
      <c r="L41" s="237">
        <f>IF($G$51&gt;$I$51,0.65,10000)</f>
        <v>10000</v>
      </c>
      <c r="O41" s="237"/>
      <c r="P41" s="261"/>
      <c r="Q41" s="261"/>
    </row>
    <row r="42" spans="2:17">
      <c r="B42" s="262"/>
      <c r="C42" s="264"/>
      <c r="D42" s="272" t="s">
        <v>315</v>
      </c>
      <c r="E42" s="264"/>
      <c r="F42" s="267"/>
      <c r="G42" s="263">
        <f>IF(E22="valor total da obra",$E$21,$E$21*$E$23/100)</f>
        <v>2</v>
      </c>
      <c r="H42" s="948"/>
      <c r="I42" s="949"/>
      <c r="O42" s="237"/>
      <c r="P42" s="261"/>
      <c r="Q42" s="261"/>
    </row>
    <row r="43" spans="2:17">
      <c r="B43" s="262"/>
      <c r="C43" s="264"/>
      <c r="D43" s="272" t="s">
        <v>316</v>
      </c>
      <c r="E43" s="264"/>
      <c r="F43" s="267"/>
      <c r="G43" s="263">
        <f>IF(E10="desonerados",4.5,0)</f>
        <v>0</v>
      </c>
      <c r="H43" s="948"/>
      <c r="I43" s="949"/>
      <c r="O43" s="237"/>
      <c r="P43" s="261"/>
      <c r="Q43" s="261"/>
    </row>
    <row r="44" spans="2:17">
      <c r="B44" s="262" t="s">
        <v>206</v>
      </c>
      <c r="C44" s="952" t="s">
        <v>317</v>
      </c>
      <c r="D44" s="953"/>
      <c r="E44" s="953"/>
      <c r="F44" s="954"/>
      <c r="G44" s="263">
        <f>IF(E10="desonerados",SUM(G40:G43),G39)</f>
        <v>5.65</v>
      </c>
      <c r="H44" s="950"/>
      <c r="I44" s="951"/>
      <c r="O44" s="237" t="s">
        <v>318</v>
      </c>
      <c r="P44" s="261">
        <v>0.32</v>
      </c>
      <c r="Q44" s="261">
        <v>0.74</v>
      </c>
    </row>
    <row r="45" spans="2:17" ht="4.5" customHeight="1" thickBot="1">
      <c r="O45" s="237" t="s">
        <v>319</v>
      </c>
      <c r="P45" s="261">
        <v>0.5</v>
      </c>
      <c r="Q45" s="261">
        <v>0.97</v>
      </c>
    </row>
    <row r="46" spans="2:17" ht="13.5" thickBot="1">
      <c r="B46" s="975" t="s">
        <v>320</v>
      </c>
      <c r="C46" s="976"/>
      <c r="D46" s="976"/>
      <c r="E46" s="976"/>
      <c r="F46" s="976"/>
      <c r="G46" s="977"/>
      <c r="H46" s="273"/>
      <c r="O46" s="237" t="s">
        <v>321</v>
      </c>
      <c r="P46" s="261">
        <v>1.02</v>
      </c>
      <c r="Q46" s="261">
        <v>1.21</v>
      </c>
    </row>
    <row r="47" spans="2:17" ht="22.5" customHeight="1">
      <c r="B47" s="978"/>
      <c r="C47" s="980" t="s">
        <v>322</v>
      </c>
      <c r="D47" s="982" t="s">
        <v>323</v>
      </c>
      <c r="E47" s="982"/>
      <c r="F47" s="982"/>
      <c r="G47" s="983">
        <v>-1</v>
      </c>
      <c r="O47" s="237" t="s">
        <v>324</v>
      </c>
      <c r="P47" s="261">
        <v>6.64</v>
      </c>
      <c r="Q47" s="261">
        <v>8.69</v>
      </c>
    </row>
    <row r="48" spans="2:17" ht="21" customHeight="1" thickBot="1">
      <c r="B48" s="979"/>
      <c r="C48" s="981"/>
      <c r="D48" s="985" t="s">
        <v>325</v>
      </c>
      <c r="E48" s="985"/>
      <c r="F48" s="985"/>
      <c r="G48" s="984"/>
      <c r="O48" s="237" t="s">
        <v>326</v>
      </c>
      <c r="P48" s="261">
        <v>3.43</v>
      </c>
      <c r="Q48" s="261">
        <v>6.71</v>
      </c>
    </row>
    <row r="49" spans="2:17" ht="3" customHeight="1" thickBot="1">
      <c r="O49" s="237" t="s">
        <v>327</v>
      </c>
      <c r="P49" s="261">
        <v>0.28000000000000003</v>
      </c>
      <c r="Q49" s="261">
        <v>0.75</v>
      </c>
    </row>
    <row r="50" spans="2:17" ht="15" customHeight="1" thickBot="1">
      <c r="B50" s="986" t="s">
        <v>328</v>
      </c>
      <c r="C50" s="987"/>
      <c r="D50" s="987"/>
      <c r="E50" s="987"/>
      <c r="F50" s="987"/>
      <c r="G50" s="987"/>
      <c r="H50" s="274" t="s">
        <v>292</v>
      </c>
      <c r="I50" s="275" t="s">
        <v>293</v>
      </c>
      <c r="O50" s="237" t="s">
        <v>329</v>
      </c>
      <c r="P50" s="261">
        <v>1</v>
      </c>
      <c r="Q50" s="261">
        <v>1.74</v>
      </c>
    </row>
    <row r="51" spans="2:17" ht="15">
      <c r="B51" s="988" t="str">
        <f>IF(G51&gt;I51,"BDI Sem Desoneração: ! FORA DOS LIMITES !",IF(G51&lt;H51,"BDI Sem Desoneração: ! FORA DOS LIMITES !","BDI Sem Desoneração:"))</f>
        <v>BDI Sem Desoneração:</v>
      </c>
      <c r="C51" s="988"/>
      <c r="D51" s="988"/>
      <c r="E51" s="988"/>
      <c r="F51" s="988"/>
      <c r="G51" s="276">
        <f>100*ROUND((((1+G34/100+G35/100+G36/100)*(1+G37/100)*(1+G38/100))/(1-G39/100))-1,4)</f>
        <v>24.03</v>
      </c>
      <c r="H51" s="260">
        <f>VLOOKUP(J51,$O$34:$Q$74,2,FALSE)</f>
        <v>19.600000000000001</v>
      </c>
      <c r="I51" s="260">
        <f>VLOOKUP(J51,$O$34:$Q$74,3,FALSE)</f>
        <v>24.23</v>
      </c>
      <c r="J51" s="237" t="str">
        <f>CONCATENATE(LEFT($D$31,1),"F")</f>
        <v>2F</v>
      </c>
      <c r="O51" s="237" t="s">
        <v>330</v>
      </c>
      <c r="P51" s="261">
        <v>0.94</v>
      </c>
      <c r="Q51" s="261">
        <v>1.17</v>
      </c>
    </row>
    <row r="52" spans="2:17" ht="15">
      <c r="B52" s="988" t="s">
        <v>331</v>
      </c>
      <c r="C52" s="988"/>
      <c r="D52" s="988"/>
      <c r="E52" s="988"/>
      <c r="F52" s="988"/>
      <c r="G52" s="277">
        <f>100*ROUND((((1+G34/100+G35/100+G36/100)*(1+G37/100)*(1+G38/100))/(1-G44/100))-1,4)</f>
        <v>24.03</v>
      </c>
      <c r="H52" s="262"/>
      <c r="I52" s="262"/>
      <c r="J52" s="237">
        <f>IF(G51&gt;I51,1,IF(G51&lt;H51,1,0))</f>
        <v>0</v>
      </c>
      <c r="O52" s="237" t="s">
        <v>332</v>
      </c>
      <c r="P52" s="261">
        <v>6.74</v>
      </c>
      <c r="Q52" s="261">
        <v>9.4</v>
      </c>
    </row>
    <row r="53" spans="2:17" ht="9" customHeight="1">
      <c r="B53" s="278"/>
      <c r="C53" s="278"/>
      <c r="D53" s="278"/>
      <c r="E53" s="278"/>
      <c r="F53" s="278"/>
      <c r="G53" s="279"/>
      <c r="H53" s="255"/>
      <c r="I53" s="255"/>
      <c r="J53" s="237"/>
      <c r="O53" s="237"/>
      <c r="P53" s="261"/>
      <c r="Q53" s="261"/>
    </row>
    <row r="54" spans="2:17" ht="71.25" customHeight="1">
      <c r="B54" s="989" t="s">
        <v>333</v>
      </c>
      <c r="C54" s="989"/>
      <c r="D54" s="989"/>
      <c r="E54" s="989"/>
      <c r="F54" s="989"/>
      <c r="G54" s="989"/>
      <c r="H54" s="989"/>
      <c r="I54" s="989"/>
      <c r="O54" s="237"/>
      <c r="P54" s="261"/>
      <c r="Q54" s="261"/>
    </row>
    <row r="55" spans="2:17" ht="46.5" customHeight="1">
      <c r="B55" s="990" t="s">
        <v>334</v>
      </c>
      <c r="C55" s="990"/>
      <c r="D55" s="990"/>
      <c r="E55" s="990"/>
      <c r="F55" s="990"/>
      <c r="G55" s="990"/>
      <c r="H55" s="990"/>
      <c r="I55" s="990"/>
      <c r="O55" s="237" t="s">
        <v>335</v>
      </c>
      <c r="P55" s="261">
        <v>0.25</v>
      </c>
      <c r="Q55" s="261">
        <v>0.56000000000000005</v>
      </c>
    </row>
    <row r="56" spans="2:17" ht="11.25" customHeight="1">
      <c r="B56" s="974" t="s">
        <v>336</v>
      </c>
      <c r="C56" s="974"/>
      <c r="D56" s="974"/>
      <c r="E56" s="974"/>
      <c r="F56" s="974"/>
      <c r="G56" s="974"/>
      <c r="H56" s="974"/>
      <c r="I56" s="974"/>
      <c r="O56" s="237" t="s">
        <v>337</v>
      </c>
      <c r="P56" s="261">
        <v>1</v>
      </c>
      <c r="Q56" s="261">
        <v>1.97</v>
      </c>
    </row>
    <row r="57" spans="2:17" ht="15.75" customHeight="1">
      <c r="B57" s="974"/>
      <c r="C57" s="974"/>
      <c r="D57" s="974"/>
      <c r="E57" s="974"/>
      <c r="F57" s="974"/>
      <c r="G57" s="974"/>
      <c r="H57" s="974"/>
      <c r="I57" s="974"/>
      <c r="O57" s="237" t="s">
        <v>338</v>
      </c>
      <c r="P57" s="261">
        <v>1.01</v>
      </c>
      <c r="Q57" s="261">
        <v>1.1100000000000001</v>
      </c>
    </row>
    <row r="58" spans="2:17" ht="68.25" customHeight="1">
      <c r="O58" s="237" t="s">
        <v>339</v>
      </c>
      <c r="P58" s="261">
        <v>8</v>
      </c>
      <c r="Q58" s="261">
        <v>9.51</v>
      </c>
    </row>
    <row r="59" spans="2:17" ht="68.25" customHeight="1">
      <c r="O59" s="237" t="s">
        <v>340</v>
      </c>
      <c r="P59" s="261">
        <v>4</v>
      </c>
      <c r="Q59" s="261">
        <v>7.85</v>
      </c>
    </row>
    <row r="60" spans="2:17">
      <c r="O60" s="237" t="s">
        <v>341</v>
      </c>
      <c r="P60" s="261">
        <v>0.81</v>
      </c>
      <c r="Q60" s="261">
        <v>1.99</v>
      </c>
    </row>
    <row r="61" spans="2:17">
      <c r="O61" s="237" t="s">
        <v>342</v>
      </c>
      <c r="P61" s="261">
        <v>1.46</v>
      </c>
      <c r="Q61" s="261">
        <v>3.16</v>
      </c>
    </row>
    <row r="62" spans="2:17">
      <c r="O62" s="237" t="s">
        <v>343</v>
      </c>
      <c r="P62" s="261">
        <v>0.94</v>
      </c>
      <c r="Q62" s="261">
        <v>1.33</v>
      </c>
    </row>
    <row r="63" spans="2:17">
      <c r="O63" s="237" t="s">
        <v>344</v>
      </c>
      <c r="P63" s="261">
        <v>7.14</v>
      </c>
      <c r="Q63" s="261">
        <v>10.43</v>
      </c>
    </row>
    <row r="64" spans="2:17">
      <c r="O64" s="237" t="s">
        <v>345</v>
      </c>
      <c r="P64" s="261">
        <v>1.5</v>
      </c>
      <c r="Q64" s="261">
        <v>4.49</v>
      </c>
    </row>
    <row r="65" spans="15:17">
      <c r="O65" s="237" t="s">
        <v>346</v>
      </c>
      <c r="P65" s="261">
        <v>0.3</v>
      </c>
      <c r="Q65" s="261">
        <v>0.82</v>
      </c>
    </row>
    <row r="66" spans="15:17">
      <c r="O66" s="237" t="s">
        <v>347</v>
      </c>
      <c r="P66" s="261">
        <v>0.56000000000000005</v>
      </c>
      <c r="Q66" s="261">
        <v>0.89</v>
      </c>
    </row>
    <row r="67" spans="15:17">
      <c r="O67" s="237" t="s">
        <v>348</v>
      </c>
      <c r="P67" s="261">
        <v>0.85</v>
      </c>
      <c r="Q67" s="261">
        <v>1.1100000000000001</v>
      </c>
    </row>
    <row r="68" spans="15:17">
      <c r="O68" s="237" t="s">
        <v>349</v>
      </c>
      <c r="P68" s="261">
        <v>3.5</v>
      </c>
      <c r="Q68" s="261">
        <v>6.22</v>
      </c>
    </row>
    <row r="69" spans="15:17">
      <c r="O69" s="237" t="s">
        <v>350</v>
      </c>
      <c r="P69" s="261">
        <v>20.34</v>
      </c>
      <c r="Q69" s="261">
        <v>25</v>
      </c>
    </row>
    <row r="70" spans="15:17">
      <c r="O70" s="237" t="s">
        <v>351</v>
      </c>
      <c r="P70" s="261">
        <v>19.600000000000001</v>
      </c>
      <c r="Q70" s="261">
        <v>24.23</v>
      </c>
    </row>
    <row r="71" spans="15:17">
      <c r="O71" s="237" t="s">
        <v>352</v>
      </c>
      <c r="P71" s="261">
        <v>20.76</v>
      </c>
      <c r="Q71" s="261">
        <v>26.44</v>
      </c>
    </row>
    <row r="72" spans="15:17">
      <c r="O72" s="237" t="s">
        <v>353</v>
      </c>
      <c r="P72" s="261">
        <v>24</v>
      </c>
      <c r="Q72" s="261">
        <v>27.86</v>
      </c>
    </row>
    <row r="73" spans="15:17">
      <c r="O73" s="237" t="s">
        <v>354</v>
      </c>
      <c r="P73" s="261">
        <v>22.8</v>
      </c>
      <c r="Q73" s="261">
        <v>30.95</v>
      </c>
    </row>
    <row r="74" spans="15:17">
      <c r="O74" s="237" t="s">
        <v>355</v>
      </c>
      <c r="P74" s="261">
        <v>11.1</v>
      </c>
      <c r="Q74" s="261">
        <v>16.8</v>
      </c>
    </row>
    <row r="75" spans="15:17">
      <c r="O75" s="237"/>
      <c r="P75" s="237"/>
      <c r="Q75" s="237"/>
    </row>
    <row r="76" spans="15:17">
      <c r="O76" s="237"/>
      <c r="P76" s="237"/>
      <c r="Q76" s="237"/>
    </row>
    <row r="77" spans="15:17">
      <c r="O77" s="237"/>
      <c r="P77" s="237"/>
      <c r="Q77" s="237"/>
    </row>
    <row r="78" spans="15:17">
      <c r="O78" s="237"/>
      <c r="P78" s="237"/>
      <c r="Q78" s="237"/>
    </row>
    <row r="79" spans="15:17">
      <c r="O79" s="237"/>
      <c r="P79" s="237"/>
      <c r="Q79" s="237"/>
    </row>
    <row r="80" spans="15:17">
      <c r="O80" s="237"/>
      <c r="P80" s="237"/>
      <c r="Q80" s="237"/>
    </row>
    <row r="81" spans="15:17">
      <c r="O81" s="237"/>
      <c r="P81" s="237"/>
      <c r="Q81" s="237"/>
    </row>
    <row r="82" spans="15:17">
      <c r="O82" s="237"/>
      <c r="P82" s="237"/>
      <c r="Q82" s="237"/>
    </row>
    <row r="83" spans="15:17">
      <c r="O83" s="237"/>
      <c r="P83" s="237"/>
      <c r="Q83" s="237"/>
    </row>
    <row r="84" spans="15:17">
      <c r="O84" s="237"/>
      <c r="P84" s="237"/>
      <c r="Q84" s="237"/>
    </row>
    <row r="85" spans="15:17">
      <c r="O85" s="237"/>
      <c r="P85" s="237"/>
      <c r="Q85" s="237"/>
    </row>
    <row r="86" spans="15:17">
      <c r="O86" s="237"/>
      <c r="P86" s="237"/>
      <c r="Q86" s="237"/>
    </row>
    <row r="87" spans="15:17">
      <c r="O87" s="237"/>
      <c r="P87" s="237"/>
      <c r="Q87" s="237"/>
    </row>
    <row r="88" spans="15:17">
      <c r="O88" s="237"/>
      <c r="P88" s="237"/>
      <c r="Q88" s="237"/>
    </row>
    <row r="89" spans="15:17">
      <c r="O89" s="237"/>
      <c r="P89" s="237"/>
      <c r="Q89" s="237"/>
    </row>
  </sheetData>
  <sheetProtection password="EBAE" sheet="1"/>
  <mergeCells count="37">
    <mergeCell ref="B56:I57"/>
    <mergeCell ref="B46:G46"/>
    <mergeCell ref="B47:B48"/>
    <mergeCell ref="C47:C48"/>
    <mergeCell ref="D47:F47"/>
    <mergeCell ref="G47:G48"/>
    <mergeCell ref="D48:F48"/>
    <mergeCell ref="B50:G50"/>
    <mergeCell ref="B51:F51"/>
    <mergeCell ref="B52:F52"/>
    <mergeCell ref="B54:I54"/>
    <mergeCell ref="B55:I55"/>
    <mergeCell ref="H39:I44"/>
    <mergeCell ref="C44:F44"/>
    <mergeCell ref="B23:D26"/>
    <mergeCell ref="B29:I29"/>
    <mergeCell ref="B31:C31"/>
    <mergeCell ref="D31:I31"/>
    <mergeCell ref="B33:F33"/>
    <mergeCell ref="C34:F34"/>
    <mergeCell ref="C35:F35"/>
    <mergeCell ref="C36:F36"/>
    <mergeCell ref="C37:F37"/>
    <mergeCell ref="C38:F38"/>
    <mergeCell ref="C39:F39"/>
    <mergeCell ref="B14:D14"/>
    <mergeCell ref="E14:F14"/>
    <mergeCell ref="E16:F16"/>
    <mergeCell ref="E17:F17"/>
    <mergeCell ref="E19:F19"/>
    <mergeCell ref="E22:F22"/>
    <mergeCell ref="E7:F7"/>
    <mergeCell ref="E8:F8"/>
    <mergeCell ref="E9:F9"/>
    <mergeCell ref="E10:F10"/>
    <mergeCell ref="E11:F11"/>
    <mergeCell ref="E13:F13"/>
  </mergeCells>
  <conditionalFormatting sqref="G34:G38 E21">
    <cfRule type="cellIs" dxfId="5" priority="6" stopIfTrue="1" operator="notBetween">
      <formula>$H21</formula>
      <formula>$I21</formula>
    </cfRule>
  </conditionalFormatting>
  <conditionalFormatting sqref="G51">
    <cfRule type="cellIs" dxfId="4" priority="5" stopIfTrue="1" operator="notBetween">
      <formula>$H$51</formula>
      <formula>$I$51</formula>
    </cfRule>
  </conditionalFormatting>
  <conditionalFormatting sqref="B51:F51">
    <cfRule type="expression" dxfId="3" priority="4" stopIfTrue="1">
      <formula>$J$52=1</formula>
    </cfRule>
  </conditionalFormatting>
  <conditionalFormatting sqref="E23 H23 B23">
    <cfRule type="expression" dxfId="2" priority="3" stopIfTrue="1">
      <formula>$E$22="valor total da obra"</formula>
    </cfRule>
  </conditionalFormatting>
  <conditionalFormatting sqref="B54:I54">
    <cfRule type="expression" dxfId="1" priority="2" stopIfTrue="1">
      <formula>$G$51&gt;$I$51</formula>
    </cfRule>
  </conditionalFormatting>
  <conditionalFormatting sqref="F5">
    <cfRule type="expression" dxfId="0" priority="1" stopIfTrue="1">
      <formula>$E$6=0</formula>
    </cfRule>
  </conditionalFormatting>
  <dataValidations count="8">
    <dataValidation type="decimal" allowBlank="1" showInputMessage="1" showErrorMessage="1" sqref="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formula1>G21</formula1>
      <formula2>H21</formula2>
    </dataValidation>
    <dataValidation type="decimal" allowBlank="1" showInputMessage="1" showErrorMessage="1" error="O valor inserido está fora dos limites estabelecidos pelo acórdão 2622/2013 do TCU ou é inválido." sqref="G40:G41 JC40:JC41 SY40:SY41 ACU40:ACU41 AMQ40:AMQ41 AWM40:AWM41 BGI40:BGI41 BQE40:BQE41 CAA40:CAA41 CJW40:CJW41 CTS40:CTS41 DDO40:DDO41 DNK40:DNK41 DXG40:DXG41 EHC40:EHC41 EQY40:EQY41 FAU40:FAU41 FKQ40:FKQ41 FUM40:FUM41 GEI40:GEI41 GOE40:GOE41 GYA40:GYA41 HHW40:HHW41 HRS40:HRS41 IBO40:IBO41 ILK40:ILK41 IVG40:IVG41 JFC40:JFC41 JOY40:JOY41 JYU40:JYU41 KIQ40:KIQ41 KSM40:KSM41 LCI40:LCI41 LME40:LME41 LWA40:LWA41 MFW40:MFW41 MPS40:MPS41 MZO40:MZO41 NJK40:NJK41 NTG40:NTG41 ODC40:ODC41 OMY40:OMY41 OWU40:OWU41 PGQ40:PGQ41 PQM40:PQM41 QAI40:QAI41 QKE40:QKE41 QUA40:QUA41 RDW40:RDW41 RNS40:RNS41 RXO40:RXO41 SHK40:SHK41 SRG40:SRG41 TBC40:TBC41 TKY40:TKY41 TUU40:TUU41 UEQ40:UEQ41 UOM40:UOM41 UYI40:UYI41 VIE40:VIE41 VSA40:VSA41 WBW40:WBW41 WLS40:WLS41 WVO40:WVO41 G65576:G65577 JC65576:JC65577 SY65576:SY65577 ACU65576:ACU65577 AMQ65576:AMQ65577 AWM65576:AWM65577 BGI65576:BGI65577 BQE65576:BQE65577 CAA65576:CAA65577 CJW65576:CJW65577 CTS65576:CTS65577 DDO65576:DDO65577 DNK65576:DNK65577 DXG65576:DXG65577 EHC65576:EHC65577 EQY65576:EQY65577 FAU65576:FAU65577 FKQ65576:FKQ65577 FUM65576:FUM65577 GEI65576:GEI65577 GOE65576:GOE65577 GYA65576:GYA65577 HHW65576:HHW65577 HRS65576:HRS65577 IBO65576:IBO65577 ILK65576:ILK65577 IVG65576:IVG65577 JFC65576:JFC65577 JOY65576:JOY65577 JYU65576:JYU65577 KIQ65576:KIQ65577 KSM65576:KSM65577 LCI65576:LCI65577 LME65576:LME65577 LWA65576:LWA65577 MFW65576:MFW65577 MPS65576:MPS65577 MZO65576:MZO65577 NJK65576:NJK65577 NTG65576:NTG65577 ODC65576:ODC65577 OMY65576:OMY65577 OWU65576:OWU65577 PGQ65576:PGQ65577 PQM65576:PQM65577 QAI65576:QAI65577 QKE65576:QKE65577 QUA65576:QUA65577 RDW65576:RDW65577 RNS65576:RNS65577 RXO65576:RXO65577 SHK65576:SHK65577 SRG65576:SRG65577 TBC65576:TBC65577 TKY65576:TKY65577 TUU65576:TUU65577 UEQ65576:UEQ65577 UOM65576:UOM65577 UYI65576:UYI65577 VIE65576:VIE65577 VSA65576:VSA65577 WBW65576:WBW65577 WLS65576:WLS65577 WVO65576:WVO65577 G131112:G131113 JC131112:JC131113 SY131112:SY131113 ACU131112:ACU131113 AMQ131112:AMQ131113 AWM131112:AWM131113 BGI131112:BGI131113 BQE131112:BQE131113 CAA131112:CAA131113 CJW131112:CJW131113 CTS131112:CTS131113 DDO131112:DDO131113 DNK131112:DNK131113 DXG131112:DXG131113 EHC131112:EHC131113 EQY131112:EQY131113 FAU131112:FAU131113 FKQ131112:FKQ131113 FUM131112:FUM131113 GEI131112:GEI131113 GOE131112:GOE131113 GYA131112:GYA131113 HHW131112:HHW131113 HRS131112:HRS131113 IBO131112:IBO131113 ILK131112:ILK131113 IVG131112:IVG131113 JFC131112:JFC131113 JOY131112:JOY131113 JYU131112:JYU131113 KIQ131112:KIQ131113 KSM131112:KSM131113 LCI131112:LCI131113 LME131112:LME131113 LWA131112:LWA131113 MFW131112:MFW131113 MPS131112:MPS131113 MZO131112:MZO131113 NJK131112:NJK131113 NTG131112:NTG131113 ODC131112:ODC131113 OMY131112:OMY131113 OWU131112:OWU131113 PGQ131112:PGQ131113 PQM131112:PQM131113 QAI131112:QAI131113 QKE131112:QKE131113 QUA131112:QUA131113 RDW131112:RDW131113 RNS131112:RNS131113 RXO131112:RXO131113 SHK131112:SHK131113 SRG131112:SRG131113 TBC131112:TBC131113 TKY131112:TKY131113 TUU131112:TUU131113 UEQ131112:UEQ131113 UOM131112:UOM131113 UYI131112:UYI131113 VIE131112:VIE131113 VSA131112:VSA131113 WBW131112:WBW131113 WLS131112:WLS131113 WVO131112:WVO131113 G196648:G196649 JC196648:JC196649 SY196648:SY196649 ACU196648:ACU196649 AMQ196648:AMQ196649 AWM196648:AWM196649 BGI196648:BGI196649 BQE196648:BQE196649 CAA196648:CAA196649 CJW196648:CJW196649 CTS196648:CTS196649 DDO196648:DDO196649 DNK196648:DNK196649 DXG196648:DXG196649 EHC196648:EHC196649 EQY196648:EQY196649 FAU196648:FAU196649 FKQ196648:FKQ196649 FUM196648:FUM196649 GEI196648:GEI196649 GOE196648:GOE196649 GYA196648:GYA196649 HHW196648:HHW196649 HRS196648:HRS196649 IBO196648:IBO196649 ILK196648:ILK196649 IVG196648:IVG196649 JFC196648:JFC196649 JOY196648:JOY196649 JYU196648:JYU196649 KIQ196648:KIQ196649 KSM196648:KSM196649 LCI196648:LCI196649 LME196648:LME196649 LWA196648:LWA196649 MFW196648:MFW196649 MPS196648:MPS196649 MZO196648:MZO196649 NJK196648:NJK196649 NTG196648:NTG196649 ODC196648:ODC196649 OMY196648:OMY196649 OWU196648:OWU196649 PGQ196648:PGQ196649 PQM196648:PQM196649 QAI196648:QAI196649 QKE196648:QKE196649 QUA196648:QUA196649 RDW196648:RDW196649 RNS196648:RNS196649 RXO196648:RXO196649 SHK196648:SHK196649 SRG196648:SRG196649 TBC196648:TBC196649 TKY196648:TKY196649 TUU196648:TUU196649 UEQ196648:UEQ196649 UOM196648:UOM196649 UYI196648:UYI196649 VIE196648:VIE196649 VSA196648:VSA196649 WBW196648:WBW196649 WLS196648:WLS196649 WVO196648:WVO196649 G262184:G262185 JC262184:JC262185 SY262184:SY262185 ACU262184:ACU262185 AMQ262184:AMQ262185 AWM262184:AWM262185 BGI262184:BGI262185 BQE262184:BQE262185 CAA262184:CAA262185 CJW262184:CJW262185 CTS262184:CTS262185 DDO262184:DDO262185 DNK262184:DNK262185 DXG262184:DXG262185 EHC262184:EHC262185 EQY262184:EQY262185 FAU262184:FAU262185 FKQ262184:FKQ262185 FUM262184:FUM262185 GEI262184:GEI262185 GOE262184:GOE262185 GYA262184:GYA262185 HHW262184:HHW262185 HRS262184:HRS262185 IBO262184:IBO262185 ILK262184:ILK262185 IVG262184:IVG262185 JFC262184:JFC262185 JOY262184:JOY262185 JYU262184:JYU262185 KIQ262184:KIQ262185 KSM262184:KSM262185 LCI262184:LCI262185 LME262184:LME262185 LWA262184:LWA262185 MFW262184:MFW262185 MPS262184:MPS262185 MZO262184:MZO262185 NJK262184:NJK262185 NTG262184:NTG262185 ODC262184:ODC262185 OMY262184:OMY262185 OWU262184:OWU262185 PGQ262184:PGQ262185 PQM262184:PQM262185 QAI262184:QAI262185 QKE262184:QKE262185 QUA262184:QUA262185 RDW262184:RDW262185 RNS262184:RNS262185 RXO262184:RXO262185 SHK262184:SHK262185 SRG262184:SRG262185 TBC262184:TBC262185 TKY262184:TKY262185 TUU262184:TUU262185 UEQ262184:UEQ262185 UOM262184:UOM262185 UYI262184:UYI262185 VIE262184:VIE262185 VSA262184:VSA262185 WBW262184:WBW262185 WLS262184:WLS262185 WVO262184:WVO262185 G327720:G327721 JC327720:JC327721 SY327720:SY327721 ACU327720:ACU327721 AMQ327720:AMQ327721 AWM327720:AWM327721 BGI327720:BGI327721 BQE327720:BQE327721 CAA327720:CAA327721 CJW327720:CJW327721 CTS327720:CTS327721 DDO327720:DDO327721 DNK327720:DNK327721 DXG327720:DXG327721 EHC327720:EHC327721 EQY327720:EQY327721 FAU327720:FAU327721 FKQ327720:FKQ327721 FUM327720:FUM327721 GEI327720:GEI327721 GOE327720:GOE327721 GYA327720:GYA327721 HHW327720:HHW327721 HRS327720:HRS327721 IBO327720:IBO327721 ILK327720:ILK327721 IVG327720:IVG327721 JFC327720:JFC327721 JOY327720:JOY327721 JYU327720:JYU327721 KIQ327720:KIQ327721 KSM327720:KSM327721 LCI327720:LCI327721 LME327720:LME327721 LWA327720:LWA327721 MFW327720:MFW327721 MPS327720:MPS327721 MZO327720:MZO327721 NJK327720:NJK327721 NTG327720:NTG327721 ODC327720:ODC327721 OMY327720:OMY327721 OWU327720:OWU327721 PGQ327720:PGQ327721 PQM327720:PQM327721 QAI327720:QAI327721 QKE327720:QKE327721 QUA327720:QUA327721 RDW327720:RDW327721 RNS327720:RNS327721 RXO327720:RXO327721 SHK327720:SHK327721 SRG327720:SRG327721 TBC327720:TBC327721 TKY327720:TKY327721 TUU327720:TUU327721 UEQ327720:UEQ327721 UOM327720:UOM327721 UYI327720:UYI327721 VIE327720:VIE327721 VSA327720:VSA327721 WBW327720:WBW327721 WLS327720:WLS327721 WVO327720:WVO327721 G393256:G393257 JC393256:JC393257 SY393256:SY393257 ACU393256:ACU393257 AMQ393256:AMQ393257 AWM393256:AWM393257 BGI393256:BGI393257 BQE393256:BQE393257 CAA393256:CAA393257 CJW393256:CJW393257 CTS393256:CTS393257 DDO393256:DDO393257 DNK393256:DNK393257 DXG393256:DXG393257 EHC393256:EHC393257 EQY393256:EQY393257 FAU393256:FAU393257 FKQ393256:FKQ393257 FUM393256:FUM393257 GEI393256:GEI393257 GOE393256:GOE393257 GYA393256:GYA393257 HHW393256:HHW393257 HRS393256:HRS393257 IBO393256:IBO393257 ILK393256:ILK393257 IVG393256:IVG393257 JFC393256:JFC393257 JOY393256:JOY393257 JYU393256:JYU393257 KIQ393256:KIQ393257 KSM393256:KSM393257 LCI393256:LCI393257 LME393256:LME393257 LWA393256:LWA393257 MFW393256:MFW393257 MPS393256:MPS393257 MZO393256:MZO393257 NJK393256:NJK393257 NTG393256:NTG393257 ODC393256:ODC393257 OMY393256:OMY393257 OWU393256:OWU393257 PGQ393256:PGQ393257 PQM393256:PQM393257 QAI393256:QAI393257 QKE393256:QKE393257 QUA393256:QUA393257 RDW393256:RDW393257 RNS393256:RNS393257 RXO393256:RXO393257 SHK393256:SHK393257 SRG393256:SRG393257 TBC393256:TBC393257 TKY393256:TKY393257 TUU393256:TUU393257 UEQ393256:UEQ393257 UOM393256:UOM393257 UYI393256:UYI393257 VIE393256:VIE393257 VSA393256:VSA393257 WBW393256:WBW393257 WLS393256:WLS393257 WVO393256:WVO393257 G458792:G458793 JC458792:JC458793 SY458792:SY458793 ACU458792:ACU458793 AMQ458792:AMQ458793 AWM458792:AWM458793 BGI458792:BGI458793 BQE458792:BQE458793 CAA458792:CAA458793 CJW458792:CJW458793 CTS458792:CTS458793 DDO458792:DDO458793 DNK458792:DNK458793 DXG458792:DXG458793 EHC458792:EHC458793 EQY458792:EQY458793 FAU458792:FAU458793 FKQ458792:FKQ458793 FUM458792:FUM458793 GEI458792:GEI458793 GOE458792:GOE458793 GYA458792:GYA458793 HHW458792:HHW458793 HRS458792:HRS458793 IBO458792:IBO458793 ILK458792:ILK458793 IVG458792:IVG458793 JFC458792:JFC458793 JOY458792:JOY458793 JYU458792:JYU458793 KIQ458792:KIQ458793 KSM458792:KSM458793 LCI458792:LCI458793 LME458792:LME458793 LWA458792:LWA458793 MFW458792:MFW458793 MPS458792:MPS458793 MZO458792:MZO458793 NJK458792:NJK458793 NTG458792:NTG458793 ODC458792:ODC458793 OMY458792:OMY458793 OWU458792:OWU458793 PGQ458792:PGQ458793 PQM458792:PQM458793 QAI458792:QAI458793 QKE458792:QKE458793 QUA458792:QUA458793 RDW458792:RDW458793 RNS458792:RNS458793 RXO458792:RXO458793 SHK458792:SHK458793 SRG458792:SRG458793 TBC458792:TBC458793 TKY458792:TKY458793 TUU458792:TUU458793 UEQ458792:UEQ458793 UOM458792:UOM458793 UYI458792:UYI458793 VIE458792:VIE458793 VSA458792:VSA458793 WBW458792:WBW458793 WLS458792:WLS458793 WVO458792:WVO458793 G524328:G524329 JC524328:JC524329 SY524328:SY524329 ACU524328:ACU524329 AMQ524328:AMQ524329 AWM524328:AWM524329 BGI524328:BGI524329 BQE524328:BQE524329 CAA524328:CAA524329 CJW524328:CJW524329 CTS524328:CTS524329 DDO524328:DDO524329 DNK524328:DNK524329 DXG524328:DXG524329 EHC524328:EHC524329 EQY524328:EQY524329 FAU524328:FAU524329 FKQ524328:FKQ524329 FUM524328:FUM524329 GEI524328:GEI524329 GOE524328:GOE524329 GYA524328:GYA524329 HHW524328:HHW524329 HRS524328:HRS524329 IBO524328:IBO524329 ILK524328:ILK524329 IVG524328:IVG524329 JFC524328:JFC524329 JOY524328:JOY524329 JYU524328:JYU524329 KIQ524328:KIQ524329 KSM524328:KSM524329 LCI524328:LCI524329 LME524328:LME524329 LWA524328:LWA524329 MFW524328:MFW524329 MPS524328:MPS524329 MZO524328:MZO524329 NJK524328:NJK524329 NTG524328:NTG524329 ODC524328:ODC524329 OMY524328:OMY524329 OWU524328:OWU524329 PGQ524328:PGQ524329 PQM524328:PQM524329 QAI524328:QAI524329 QKE524328:QKE524329 QUA524328:QUA524329 RDW524328:RDW524329 RNS524328:RNS524329 RXO524328:RXO524329 SHK524328:SHK524329 SRG524328:SRG524329 TBC524328:TBC524329 TKY524328:TKY524329 TUU524328:TUU524329 UEQ524328:UEQ524329 UOM524328:UOM524329 UYI524328:UYI524329 VIE524328:VIE524329 VSA524328:VSA524329 WBW524328:WBW524329 WLS524328:WLS524329 WVO524328:WVO524329 G589864:G589865 JC589864:JC589865 SY589864:SY589865 ACU589864:ACU589865 AMQ589864:AMQ589865 AWM589864:AWM589865 BGI589864:BGI589865 BQE589864:BQE589865 CAA589864:CAA589865 CJW589864:CJW589865 CTS589864:CTS589865 DDO589864:DDO589865 DNK589864:DNK589865 DXG589864:DXG589865 EHC589864:EHC589865 EQY589864:EQY589865 FAU589864:FAU589865 FKQ589864:FKQ589865 FUM589864:FUM589865 GEI589864:GEI589865 GOE589864:GOE589865 GYA589864:GYA589865 HHW589864:HHW589865 HRS589864:HRS589865 IBO589864:IBO589865 ILK589864:ILK589865 IVG589864:IVG589865 JFC589864:JFC589865 JOY589864:JOY589865 JYU589864:JYU589865 KIQ589864:KIQ589865 KSM589864:KSM589865 LCI589864:LCI589865 LME589864:LME589865 LWA589864:LWA589865 MFW589864:MFW589865 MPS589864:MPS589865 MZO589864:MZO589865 NJK589864:NJK589865 NTG589864:NTG589865 ODC589864:ODC589865 OMY589864:OMY589865 OWU589864:OWU589865 PGQ589864:PGQ589865 PQM589864:PQM589865 QAI589864:QAI589865 QKE589864:QKE589865 QUA589864:QUA589865 RDW589864:RDW589865 RNS589864:RNS589865 RXO589864:RXO589865 SHK589864:SHK589865 SRG589864:SRG589865 TBC589864:TBC589865 TKY589864:TKY589865 TUU589864:TUU589865 UEQ589864:UEQ589865 UOM589864:UOM589865 UYI589864:UYI589865 VIE589864:VIE589865 VSA589864:VSA589865 WBW589864:WBW589865 WLS589864:WLS589865 WVO589864:WVO589865 G655400:G655401 JC655400:JC655401 SY655400:SY655401 ACU655400:ACU655401 AMQ655400:AMQ655401 AWM655400:AWM655401 BGI655400:BGI655401 BQE655400:BQE655401 CAA655400:CAA655401 CJW655400:CJW655401 CTS655400:CTS655401 DDO655400:DDO655401 DNK655400:DNK655401 DXG655400:DXG655401 EHC655400:EHC655401 EQY655400:EQY655401 FAU655400:FAU655401 FKQ655400:FKQ655401 FUM655400:FUM655401 GEI655400:GEI655401 GOE655400:GOE655401 GYA655400:GYA655401 HHW655400:HHW655401 HRS655400:HRS655401 IBO655400:IBO655401 ILK655400:ILK655401 IVG655400:IVG655401 JFC655400:JFC655401 JOY655400:JOY655401 JYU655400:JYU655401 KIQ655400:KIQ655401 KSM655400:KSM655401 LCI655400:LCI655401 LME655400:LME655401 LWA655400:LWA655401 MFW655400:MFW655401 MPS655400:MPS655401 MZO655400:MZO655401 NJK655400:NJK655401 NTG655400:NTG655401 ODC655400:ODC655401 OMY655400:OMY655401 OWU655400:OWU655401 PGQ655400:PGQ655401 PQM655400:PQM655401 QAI655400:QAI655401 QKE655400:QKE655401 QUA655400:QUA655401 RDW655400:RDW655401 RNS655400:RNS655401 RXO655400:RXO655401 SHK655400:SHK655401 SRG655400:SRG655401 TBC655400:TBC655401 TKY655400:TKY655401 TUU655400:TUU655401 UEQ655400:UEQ655401 UOM655400:UOM655401 UYI655400:UYI655401 VIE655400:VIE655401 VSA655400:VSA655401 WBW655400:WBW655401 WLS655400:WLS655401 WVO655400:WVO655401 G720936:G720937 JC720936:JC720937 SY720936:SY720937 ACU720936:ACU720937 AMQ720936:AMQ720937 AWM720936:AWM720937 BGI720936:BGI720937 BQE720936:BQE720937 CAA720936:CAA720937 CJW720936:CJW720937 CTS720936:CTS720937 DDO720936:DDO720937 DNK720936:DNK720937 DXG720936:DXG720937 EHC720936:EHC720937 EQY720936:EQY720937 FAU720936:FAU720937 FKQ720936:FKQ720937 FUM720936:FUM720937 GEI720936:GEI720937 GOE720936:GOE720937 GYA720936:GYA720937 HHW720936:HHW720937 HRS720936:HRS720937 IBO720936:IBO720937 ILK720936:ILK720937 IVG720936:IVG720937 JFC720936:JFC720937 JOY720936:JOY720937 JYU720936:JYU720937 KIQ720936:KIQ720937 KSM720936:KSM720937 LCI720936:LCI720937 LME720936:LME720937 LWA720936:LWA720937 MFW720936:MFW720937 MPS720936:MPS720937 MZO720936:MZO720937 NJK720936:NJK720937 NTG720936:NTG720937 ODC720936:ODC720937 OMY720936:OMY720937 OWU720936:OWU720937 PGQ720936:PGQ720937 PQM720936:PQM720937 QAI720936:QAI720937 QKE720936:QKE720937 QUA720936:QUA720937 RDW720936:RDW720937 RNS720936:RNS720937 RXO720936:RXO720937 SHK720936:SHK720937 SRG720936:SRG720937 TBC720936:TBC720937 TKY720936:TKY720937 TUU720936:TUU720937 UEQ720936:UEQ720937 UOM720936:UOM720937 UYI720936:UYI720937 VIE720936:VIE720937 VSA720936:VSA720937 WBW720936:WBW720937 WLS720936:WLS720937 WVO720936:WVO720937 G786472:G786473 JC786472:JC786473 SY786472:SY786473 ACU786472:ACU786473 AMQ786472:AMQ786473 AWM786472:AWM786473 BGI786472:BGI786473 BQE786472:BQE786473 CAA786472:CAA786473 CJW786472:CJW786473 CTS786472:CTS786473 DDO786472:DDO786473 DNK786472:DNK786473 DXG786472:DXG786473 EHC786472:EHC786473 EQY786472:EQY786473 FAU786472:FAU786473 FKQ786472:FKQ786473 FUM786472:FUM786473 GEI786472:GEI786473 GOE786472:GOE786473 GYA786472:GYA786473 HHW786472:HHW786473 HRS786472:HRS786473 IBO786472:IBO786473 ILK786472:ILK786473 IVG786472:IVG786473 JFC786472:JFC786473 JOY786472:JOY786473 JYU786472:JYU786473 KIQ786472:KIQ786473 KSM786472:KSM786473 LCI786472:LCI786473 LME786472:LME786473 LWA786472:LWA786473 MFW786472:MFW786473 MPS786472:MPS786473 MZO786472:MZO786473 NJK786472:NJK786473 NTG786472:NTG786473 ODC786472:ODC786473 OMY786472:OMY786473 OWU786472:OWU786473 PGQ786472:PGQ786473 PQM786472:PQM786473 QAI786472:QAI786473 QKE786472:QKE786473 QUA786472:QUA786473 RDW786472:RDW786473 RNS786472:RNS786473 RXO786472:RXO786473 SHK786472:SHK786473 SRG786472:SRG786473 TBC786472:TBC786473 TKY786472:TKY786473 TUU786472:TUU786473 UEQ786472:UEQ786473 UOM786472:UOM786473 UYI786472:UYI786473 VIE786472:VIE786473 VSA786472:VSA786473 WBW786472:WBW786473 WLS786472:WLS786473 WVO786472:WVO786473 G852008:G852009 JC852008:JC852009 SY852008:SY852009 ACU852008:ACU852009 AMQ852008:AMQ852009 AWM852008:AWM852009 BGI852008:BGI852009 BQE852008:BQE852009 CAA852008:CAA852009 CJW852008:CJW852009 CTS852008:CTS852009 DDO852008:DDO852009 DNK852008:DNK852009 DXG852008:DXG852009 EHC852008:EHC852009 EQY852008:EQY852009 FAU852008:FAU852009 FKQ852008:FKQ852009 FUM852008:FUM852009 GEI852008:GEI852009 GOE852008:GOE852009 GYA852008:GYA852009 HHW852008:HHW852009 HRS852008:HRS852009 IBO852008:IBO852009 ILK852008:ILK852009 IVG852008:IVG852009 JFC852008:JFC852009 JOY852008:JOY852009 JYU852008:JYU852009 KIQ852008:KIQ852009 KSM852008:KSM852009 LCI852008:LCI852009 LME852008:LME852009 LWA852008:LWA852009 MFW852008:MFW852009 MPS852008:MPS852009 MZO852008:MZO852009 NJK852008:NJK852009 NTG852008:NTG852009 ODC852008:ODC852009 OMY852008:OMY852009 OWU852008:OWU852009 PGQ852008:PGQ852009 PQM852008:PQM852009 QAI852008:QAI852009 QKE852008:QKE852009 QUA852008:QUA852009 RDW852008:RDW852009 RNS852008:RNS852009 RXO852008:RXO852009 SHK852008:SHK852009 SRG852008:SRG852009 TBC852008:TBC852009 TKY852008:TKY852009 TUU852008:TUU852009 UEQ852008:UEQ852009 UOM852008:UOM852009 UYI852008:UYI852009 VIE852008:VIE852009 VSA852008:VSA852009 WBW852008:WBW852009 WLS852008:WLS852009 WVO852008:WVO852009 G917544:G917545 JC917544:JC917545 SY917544:SY917545 ACU917544:ACU917545 AMQ917544:AMQ917545 AWM917544:AWM917545 BGI917544:BGI917545 BQE917544:BQE917545 CAA917544:CAA917545 CJW917544:CJW917545 CTS917544:CTS917545 DDO917544:DDO917545 DNK917544:DNK917545 DXG917544:DXG917545 EHC917544:EHC917545 EQY917544:EQY917545 FAU917544:FAU917545 FKQ917544:FKQ917545 FUM917544:FUM917545 GEI917544:GEI917545 GOE917544:GOE917545 GYA917544:GYA917545 HHW917544:HHW917545 HRS917544:HRS917545 IBO917544:IBO917545 ILK917544:ILK917545 IVG917544:IVG917545 JFC917544:JFC917545 JOY917544:JOY917545 JYU917544:JYU917545 KIQ917544:KIQ917545 KSM917544:KSM917545 LCI917544:LCI917545 LME917544:LME917545 LWA917544:LWA917545 MFW917544:MFW917545 MPS917544:MPS917545 MZO917544:MZO917545 NJK917544:NJK917545 NTG917544:NTG917545 ODC917544:ODC917545 OMY917544:OMY917545 OWU917544:OWU917545 PGQ917544:PGQ917545 PQM917544:PQM917545 QAI917544:QAI917545 QKE917544:QKE917545 QUA917544:QUA917545 RDW917544:RDW917545 RNS917544:RNS917545 RXO917544:RXO917545 SHK917544:SHK917545 SRG917544:SRG917545 TBC917544:TBC917545 TKY917544:TKY917545 TUU917544:TUU917545 UEQ917544:UEQ917545 UOM917544:UOM917545 UYI917544:UYI917545 VIE917544:VIE917545 VSA917544:VSA917545 WBW917544:WBW917545 WLS917544:WLS917545 WVO917544:WVO917545 G983080:G983081 JC983080:JC983081 SY983080:SY983081 ACU983080:ACU983081 AMQ983080:AMQ983081 AWM983080:AWM983081 BGI983080:BGI983081 BQE983080:BQE983081 CAA983080:CAA983081 CJW983080:CJW983081 CTS983080:CTS983081 DDO983080:DDO983081 DNK983080:DNK983081 DXG983080:DXG983081 EHC983080:EHC983081 EQY983080:EQY983081 FAU983080:FAU983081 FKQ983080:FKQ983081 FUM983080:FUM983081 GEI983080:GEI983081 GOE983080:GOE983081 GYA983080:GYA983081 HHW983080:HHW983081 HRS983080:HRS983081 IBO983080:IBO983081 ILK983080:ILK983081 IVG983080:IVG983081 JFC983080:JFC983081 JOY983080:JOY983081 JYU983080:JYU983081 KIQ983080:KIQ983081 KSM983080:KSM983081 LCI983080:LCI983081 LME983080:LME983081 LWA983080:LWA983081 MFW983080:MFW983081 MPS983080:MPS983081 MZO983080:MZO983081 NJK983080:NJK983081 NTG983080:NTG983081 ODC983080:ODC983081 OMY983080:OMY983081 OWU983080:OWU983081 PGQ983080:PGQ983081 PQM983080:PQM983081 QAI983080:QAI983081 QKE983080:QKE983081 QUA983080:QUA983081 RDW983080:RDW983081 RNS983080:RNS983081 RXO983080:RXO983081 SHK983080:SHK983081 SRG983080:SRG983081 TBC983080:TBC983081 TKY983080:TKY983081 TUU983080:TUU983081 UEQ983080:UEQ983081 UOM983080:UOM983081 UYI983080:UYI983081 VIE983080:VIE983081 VSA983080:VSA983081 WBW983080:WBW983081 WLS983080:WLS983081 WVO983080:WVO983081 G34:G38 JC34:JC38 SY34:SY38 ACU34:ACU38 AMQ34:AMQ38 AWM34:AWM38 BGI34:BGI38 BQE34:BQE38 CAA34:CAA38 CJW34:CJW38 CTS34:CTS38 DDO34:DDO38 DNK34:DNK38 DXG34:DXG38 EHC34:EHC38 EQY34:EQY38 FAU34:FAU38 FKQ34:FKQ38 FUM34:FUM38 GEI34:GEI38 GOE34:GOE38 GYA34:GYA38 HHW34:HHW38 HRS34:HRS38 IBO34:IBO38 ILK34:ILK38 IVG34:IVG38 JFC34:JFC38 JOY34:JOY38 JYU34:JYU38 KIQ34:KIQ38 KSM34:KSM38 LCI34:LCI38 LME34:LME38 LWA34:LWA38 MFW34:MFW38 MPS34:MPS38 MZO34:MZO38 NJK34:NJK38 NTG34:NTG38 ODC34:ODC38 OMY34:OMY38 OWU34:OWU38 PGQ34:PGQ38 PQM34:PQM38 QAI34:QAI38 QKE34:QKE38 QUA34:QUA38 RDW34:RDW38 RNS34:RNS38 RXO34:RXO38 SHK34:SHK38 SRG34:SRG38 TBC34:TBC38 TKY34:TKY38 TUU34:TUU38 UEQ34:UEQ38 UOM34:UOM38 UYI34:UYI38 VIE34:VIE38 VSA34:VSA38 WBW34:WBW38 WLS34:WLS38 WVO34:WVO38 G65570:G65574 JC65570:JC65574 SY65570:SY65574 ACU65570:ACU65574 AMQ65570:AMQ65574 AWM65570:AWM65574 BGI65570:BGI65574 BQE65570:BQE65574 CAA65570:CAA65574 CJW65570:CJW65574 CTS65570:CTS65574 DDO65570:DDO65574 DNK65570:DNK65574 DXG65570:DXG65574 EHC65570:EHC65574 EQY65570:EQY65574 FAU65570:FAU65574 FKQ65570:FKQ65574 FUM65570:FUM65574 GEI65570:GEI65574 GOE65570:GOE65574 GYA65570:GYA65574 HHW65570:HHW65574 HRS65570:HRS65574 IBO65570:IBO65574 ILK65570:ILK65574 IVG65570:IVG65574 JFC65570:JFC65574 JOY65570:JOY65574 JYU65570:JYU65574 KIQ65570:KIQ65574 KSM65570:KSM65574 LCI65570:LCI65574 LME65570:LME65574 LWA65570:LWA65574 MFW65570:MFW65574 MPS65570:MPS65574 MZO65570:MZO65574 NJK65570:NJK65574 NTG65570:NTG65574 ODC65570:ODC65574 OMY65570:OMY65574 OWU65570:OWU65574 PGQ65570:PGQ65574 PQM65570:PQM65574 QAI65570:QAI65574 QKE65570:QKE65574 QUA65570:QUA65574 RDW65570:RDW65574 RNS65570:RNS65574 RXO65570:RXO65574 SHK65570:SHK65574 SRG65570:SRG65574 TBC65570:TBC65574 TKY65570:TKY65574 TUU65570:TUU65574 UEQ65570:UEQ65574 UOM65570:UOM65574 UYI65570:UYI65574 VIE65570:VIE65574 VSA65570:VSA65574 WBW65570:WBW65574 WLS65570:WLS65574 WVO65570:WVO65574 G131106:G131110 JC131106:JC131110 SY131106:SY131110 ACU131106:ACU131110 AMQ131106:AMQ131110 AWM131106:AWM131110 BGI131106:BGI131110 BQE131106:BQE131110 CAA131106:CAA131110 CJW131106:CJW131110 CTS131106:CTS131110 DDO131106:DDO131110 DNK131106:DNK131110 DXG131106:DXG131110 EHC131106:EHC131110 EQY131106:EQY131110 FAU131106:FAU131110 FKQ131106:FKQ131110 FUM131106:FUM131110 GEI131106:GEI131110 GOE131106:GOE131110 GYA131106:GYA131110 HHW131106:HHW131110 HRS131106:HRS131110 IBO131106:IBO131110 ILK131106:ILK131110 IVG131106:IVG131110 JFC131106:JFC131110 JOY131106:JOY131110 JYU131106:JYU131110 KIQ131106:KIQ131110 KSM131106:KSM131110 LCI131106:LCI131110 LME131106:LME131110 LWA131106:LWA131110 MFW131106:MFW131110 MPS131106:MPS131110 MZO131106:MZO131110 NJK131106:NJK131110 NTG131106:NTG131110 ODC131106:ODC131110 OMY131106:OMY131110 OWU131106:OWU131110 PGQ131106:PGQ131110 PQM131106:PQM131110 QAI131106:QAI131110 QKE131106:QKE131110 QUA131106:QUA131110 RDW131106:RDW131110 RNS131106:RNS131110 RXO131106:RXO131110 SHK131106:SHK131110 SRG131106:SRG131110 TBC131106:TBC131110 TKY131106:TKY131110 TUU131106:TUU131110 UEQ131106:UEQ131110 UOM131106:UOM131110 UYI131106:UYI131110 VIE131106:VIE131110 VSA131106:VSA131110 WBW131106:WBW131110 WLS131106:WLS131110 WVO131106:WVO131110 G196642:G196646 JC196642:JC196646 SY196642:SY196646 ACU196642:ACU196646 AMQ196642:AMQ196646 AWM196642:AWM196646 BGI196642:BGI196646 BQE196642:BQE196646 CAA196642:CAA196646 CJW196642:CJW196646 CTS196642:CTS196646 DDO196642:DDO196646 DNK196642:DNK196646 DXG196642:DXG196646 EHC196642:EHC196646 EQY196642:EQY196646 FAU196642:FAU196646 FKQ196642:FKQ196646 FUM196642:FUM196646 GEI196642:GEI196646 GOE196642:GOE196646 GYA196642:GYA196646 HHW196642:HHW196646 HRS196642:HRS196646 IBO196642:IBO196646 ILK196642:ILK196646 IVG196642:IVG196646 JFC196642:JFC196646 JOY196642:JOY196646 JYU196642:JYU196646 KIQ196642:KIQ196646 KSM196642:KSM196646 LCI196642:LCI196646 LME196642:LME196646 LWA196642:LWA196646 MFW196642:MFW196646 MPS196642:MPS196646 MZO196642:MZO196646 NJK196642:NJK196646 NTG196642:NTG196646 ODC196642:ODC196646 OMY196642:OMY196646 OWU196642:OWU196646 PGQ196642:PGQ196646 PQM196642:PQM196646 QAI196642:QAI196646 QKE196642:QKE196646 QUA196642:QUA196646 RDW196642:RDW196646 RNS196642:RNS196646 RXO196642:RXO196646 SHK196642:SHK196646 SRG196642:SRG196646 TBC196642:TBC196646 TKY196642:TKY196646 TUU196642:TUU196646 UEQ196642:UEQ196646 UOM196642:UOM196646 UYI196642:UYI196646 VIE196642:VIE196646 VSA196642:VSA196646 WBW196642:WBW196646 WLS196642:WLS196646 WVO196642:WVO196646 G262178:G262182 JC262178:JC262182 SY262178:SY262182 ACU262178:ACU262182 AMQ262178:AMQ262182 AWM262178:AWM262182 BGI262178:BGI262182 BQE262178:BQE262182 CAA262178:CAA262182 CJW262178:CJW262182 CTS262178:CTS262182 DDO262178:DDO262182 DNK262178:DNK262182 DXG262178:DXG262182 EHC262178:EHC262182 EQY262178:EQY262182 FAU262178:FAU262182 FKQ262178:FKQ262182 FUM262178:FUM262182 GEI262178:GEI262182 GOE262178:GOE262182 GYA262178:GYA262182 HHW262178:HHW262182 HRS262178:HRS262182 IBO262178:IBO262182 ILK262178:ILK262182 IVG262178:IVG262182 JFC262178:JFC262182 JOY262178:JOY262182 JYU262178:JYU262182 KIQ262178:KIQ262182 KSM262178:KSM262182 LCI262178:LCI262182 LME262178:LME262182 LWA262178:LWA262182 MFW262178:MFW262182 MPS262178:MPS262182 MZO262178:MZO262182 NJK262178:NJK262182 NTG262178:NTG262182 ODC262178:ODC262182 OMY262178:OMY262182 OWU262178:OWU262182 PGQ262178:PGQ262182 PQM262178:PQM262182 QAI262178:QAI262182 QKE262178:QKE262182 QUA262178:QUA262182 RDW262178:RDW262182 RNS262178:RNS262182 RXO262178:RXO262182 SHK262178:SHK262182 SRG262178:SRG262182 TBC262178:TBC262182 TKY262178:TKY262182 TUU262178:TUU262182 UEQ262178:UEQ262182 UOM262178:UOM262182 UYI262178:UYI262182 VIE262178:VIE262182 VSA262178:VSA262182 WBW262178:WBW262182 WLS262178:WLS262182 WVO262178:WVO262182 G327714:G327718 JC327714:JC327718 SY327714:SY327718 ACU327714:ACU327718 AMQ327714:AMQ327718 AWM327714:AWM327718 BGI327714:BGI327718 BQE327714:BQE327718 CAA327714:CAA327718 CJW327714:CJW327718 CTS327714:CTS327718 DDO327714:DDO327718 DNK327714:DNK327718 DXG327714:DXG327718 EHC327714:EHC327718 EQY327714:EQY327718 FAU327714:FAU327718 FKQ327714:FKQ327718 FUM327714:FUM327718 GEI327714:GEI327718 GOE327714:GOE327718 GYA327714:GYA327718 HHW327714:HHW327718 HRS327714:HRS327718 IBO327714:IBO327718 ILK327714:ILK327718 IVG327714:IVG327718 JFC327714:JFC327718 JOY327714:JOY327718 JYU327714:JYU327718 KIQ327714:KIQ327718 KSM327714:KSM327718 LCI327714:LCI327718 LME327714:LME327718 LWA327714:LWA327718 MFW327714:MFW327718 MPS327714:MPS327718 MZO327714:MZO327718 NJK327714:NJK327718 NTG327714:NTG327718 ODC327714:ODC327718 OMY327714:OMY327718 OWU327714:OWU327718 PGQ327714:PGQ327718 PQM327714:PQM327718 QAI327714:QAI327718 QKE327714:QKE327718 QUA327714:QUA327718 RDW327714:RDW327718 RNS327714:RNS327718 RXO327714:RXO327718 SHK327714:SHK327718 SRG327714:SRG327718 TBC327714:TBC327718 TKY327714:TKY327718 TUU327714:TUU327718 UEQ327714:UEQ327718 UOM327714:UOM327718 UYI327714:UYI327718 VIE327714:VIE327718 VSA327714:VSA327718 WBW327714:WBW327718 WLS327714:WLS327718 WVO327714:WVO327718 G393250:G393254 JC393250:JC393254 SY393250:SY393254 ACU393250:ACU393254 AMQ393250:AMQ393254 AWM393250:AWM393254 BGI393250:BGI393254 BQE393250:BQE393254 CAA393250:CAA393254 CJW393250:CJW393254 CTS393250:CTS393254 DDO393250:DDO393254 DNK393250:DNK393254 DXG393250:DXG393254 EHC393250:EHC393254 EQY393250:EQY393254 FAU393250:FAU393254 FKQ393250:FKQ393254 FUM393250:FUM393254 GEI393250:GEI393254 GOE393250:GOE393254 GYA393250:GYA393254 HHW393250:HHW393254 HRS393250:HRS393254 IBO393250:IBO393254 ILK393250:ILK393254 IVG393250:IVG393254 JFC393250:JFC393254 JOY393250:JOY393254 JYU393250:JYU393254 KIQ393250:KIQ393254 KSM393250:KSM393254 LCI393250:LCI393254 LME393250:LME393254 LWA393250:LWA393254 MFW393250:MFW393254 MPS393250:MPS393254 MZO393250:MZO393254 NJK393250:NJK393254 NTG393250:NTG393254 ODC393250:ODC393254 OMY393250:OMY393254 OWU393250:OWU393254 PGQ393250:PGQ393254 PQM393250:PQM393254 QAI393250:QAI393254 QKE393250:QKE393254 QUA393250:QUA393254 RDW393250:RDW393254 RNS393250:RNS393254 RXO393250:RXO393254 SHK393250:SHK393254 SRG393250:SRG393254 TBC393250:TBC393254 TKY393250:TKY393254 TUU393250:TUU393254 UEQ393250:UEQ393254 UOM393250:UOM393254 UYI393250:UYI393254 VIE393250:VIE393254 VSA393250:VSA393254 WBW393250:WBW393254 WLS393250:WLS393254 WVO393250:WVO393254 G458786:G458790 JC458786:JC458790 SY458786:SY458790 ACU458786:ACU458790 AMQ458786:AMQ458790 AWM458786:AWM458790 BGI458786:BGI458790 BQE458786:BQE458790 CAA458786:CAA458790 CJW458786:CJW458790 CTS458786:CTS458790 DDO458786:DDO458790 DNK458786:DNK458790 DXG458786:DXG458790 EHC458786:EHC458790 EQY458786:EQY458790 FAU458786:FAU458790 FKQ458786:FKQ458790 FUM458786:FUM458790 GEI458786:GEI458790 GOE458786:GOE458790 GYA458786:GYA458790 HHW458786:HHW458790 HRS458786:HRS458790 IBO458786:IBO458790 ILK458786:ILK458790 IVG458786:IVG458790 JFC458786:JFC458790 JOY458786:JOY458790 JYU458786:JYU458790 KIQ458786:KIQ458790 KSM458786:KSM458790 LCI458786:LCI458790 LME458786:LME458790 LWA458786:LWA458790 MFW458786:MFW458790 MPS458786:MPS458790 MZO458786:MZO458790 NJK458786:NJK458790 NTG458786:NTG458790 ODC458786:ODC458790 OMY458786:OMY458790 OWU458786:OWU458790 PGQ458786:PGQ458790 PQM458786:PQM458790 QAI458786:QAI458790 QKE458786:QKE458790 QUA458786:QUA458790 RDW458786:RDW458790 RNS458786:RNS458790 RXO458786:RXO458790 SHK458786:SHK458790 SRG458786:SRG458790 TBC458786:TBC458790 TKY458786:TKY458790 TUU458786:TUU458790 UEQ458786:UEQ458790 UOM458786:UOM458790 UYI458786:UYI458790 VIE458786:VIE458790 VSA458786:VSA458790 WBW458786:WBW458790 WLS458786:WLS458790 WVO458786:WVO458790 G524322:G524326 JC524322:JC524326 SY524322:SY524326 ACU524322:ACU524326 AMQ524322:AMQ524326 AWM524322:AWM524326 BGI524322:BGI524326 BQE524322:BQE524326 CAA524322:CAA524326 CJW524322:CJW524326 CTS524322:CTS524326 DDO524322:DDO524326 DNK524322:DNK524326 DXG524322:DXG524326 EHC524322:EHC524326 EQY524322:EQY524326 FAU524322:FAU524326 FKQ524322:FKQ524326 FUM524322:FUM524326 GEI524322:GEI524326 GOE524322:GOE524326 GYA524322:GYA524326 HHW524322:HHW524326 HRS524322:HRS524326 IBO524322:IBO524326 ILK524322:ILK524326 IVG524322:IVG524326 JFC524322:JFC524326 JOY524322:JOY524326 JYU524322:JYU524326 KIQ524322:KIQ524326 KSM524322:KSM524326 LCI524322:LCI524326 LME524322:LME524326 LWA524322:LWA524326 MFW524322:MFW524326 MPS524322:MPS524326 MZO524322:MZO524326 NJK524322:NJK524326 NTG524322:NTG524326 ODC524322:ODC524326 OMY524322:OMY524326 OWU524322:OWU524326 PGQ524322:PGQ524326 PQM524322:PQM524326 QAI524322:QAI524326 QKE524322:QKE524326 QUA524322:QUA524326 RDW524322:RDW524326 RNS524322:RNS524326 RXO524322:RXO524326 SHK524322:SHK524326 SRG524322:SRG524326 TBC524322:TBC524326 TKY524322:TKY524326 TUU524322:TUU524326 UEQ524322:UEQ524326 UOM524322:UOM524326 UYI524322:UYI524326 VIE524322:VIE524326 VSA524322:VSA524326 WBW524322:WBW524326 WLS524322:WLS524326 WVO524322:WVO524326 G589858:G589862 JC589858:JC589862 SY589858:SY589862 ACU589858:ACU589862 AMQ589858:AMQ589862 AWM589858:AWM589862 BGI589858:BGI589862 BQE589858:BQE589862 CAA589858:CAA589862 CJW589858:CJW589862 CTS589858:CTS589862 DDO589858:DDO589862 DNK589858:DNK589862 DXG589858:DXG589862 EHC589858:EHC589862 EQY589858:EQY589862 FAU589858:FAU589862 FKQ589858:FKQ589862 FUM589858:FUM589862 GEI589858:GEI589862 GOE589858:GOE589862 GYA589858:GYA589862 HHW589858:HHW589862 HRS589858:HRS589862 IBO589858:IBO589862 ILK589858:ILK589862 IVG589858:IVG589862 JFC589858:JFC589862 JOY589858:JOY589862 JYU589858:JYU589862 KIQ589858:KIQ589862 KSM589858:KSM589862 LCI589858:LCI589862 LME589858:LME589862 LWA589858:LWA589862 MFW589858:MFW589862 MPS589858:MPS589862 MZO589858:MZO589862 NJK589858:NJK589862 NTG589858:NTG589862 ODC589858:ODC589862 OMY589858:OMY589862 OWU589858:OWU589862 PGQ589858:PGQ589862 PQM589858:PQM589862 QAI589858:QAI589862 QKE589858:QKE589862 QUA589858:QUA589862 RDW589858:RDW589862 RNS589858:RNS589862 RXO589858:RXO589862 SHK589858:SHK589862 SRG589858:SRG589862 TBC589858:TBC589862 TKY589858:TKY589862 TUU589858:TUU589862 UEQ589858:UEQ589862 UOM589858:UOM589862 UYI589858:UYI589862 VIE589858:VIE589862 VSA589858:VSA589862 WBW589858:WBW589862 WLS589858:WLS589862 WVO589858:WVO589862 G655394:G655398 JC655394:JC655398 SY655394:SY655398 ACU655394:ACU655398 AMQ655394:AMQ655398 AWM655394:AWM655398 BGI655394:BGI655398 BQE655394:BQE655398 CAA655394:CAA655398 CJW655394:CJW655398 CTS655394:CTS655398 DDO655394:DDO655398 DNK655394:DNK655398 DXG655394:DXG655398 EHC655394:EHC655398 EQY655394:EQY655398 FAU655394:FAU655398 FKQ655394:FKQ655398 FUM655394:FUM655398 GEI655394:GEI655398 GOE655394:GOE655398 GYA655394:GYA655398 HHW655394:HHW655398 HRS655394:HRS655398 IBO655394:IBO655398 ILK655394:ILK655398 IVG655394:IVG655398 JFC655394:JFC655398 JOY655394:JOY655398 JYU655394:JYU655398 KIQ655394:KIQ655398 KSM655394:KSM655398 LCI655394:LCI655398 LME655394:LME655398 LWA655394:LWA655398 MFW655394:MFW655398 MPS655394:MPS655398 MZO655394:MZO655398 NJK655394:NJK655398 NTG655394:NTG655398 ODC655394:ODC655398 OMY655394:OMY655398 OWU655394:OWU655398 PGQ655394:PGQ655398 PQM655394:PQM655398 QAI655394:QAI655398 QKE655394:QKE655398 QUA655394:QUA655398 RDW655394:RDW655398 RNS655394:RNS655398 RXO655394:RXO655398 SHK655394:SHK655398 SRG655394:SRG655398 TBC655394:TBC655398 TKY655394:TKY655398 TUU655394:TUU655398 UEQ655394:UEQ655398 UOM655394:UOM655398 UYI655394:UYI655398 VIE655394:VIE655398 VSA655394:VSA655398 WBW655394:WBW655398 WLS655394:WLS655398 WVO655394:WVO655398 G720930:G720934 JC720930:JC720934 SY720930:SY720934 ACU720930:ACU720934 AMQ720930:AMQ720934 AWM720930:AWM720934 BGI720930:BGI720934 BQE720930:BQE720934 CAA720930:CAA720934 CJW720930:CJW720934 CTS720930:CTS720934 DDO720930:DDO720934 DNK720930:DNK720934 DXG720930:DXG720934 EHC720930:EHC720934 EQY720930:EQY720934 FAU720930:FAU720934 FKQ720930:FKQ720934 FUM720930:FUM720934 GEI720930:GEI720934 GOE720930:GOE720934 GYA720930:GYA720934 HHW720930:HHW720934 HRS720930:HRS720934 IBO720930:IBO720934 ILK720930:ILK720934 IVG720930:IVG720934 JFC720930:JFC720934 JOY720930:JOY720934 JYU720930:JYU720934 KIQ720930:KIQ720934 KSM720930:KSM720934 LCI720930:LCI720934 LME720930:LME720934 LWA720930:LWA720934 MFW720930:MFW720934 MPS720930:MPS720934 MZO720930:MZO720934 NJK720930:NJK720934 NTG720930:NTG720934 ODC720930:ODC720934 OMY720930:OMY720934 OWU720930:OWU720934 PGQ720930:PGQ720934 PQM720930:PQM720934 QAI720930:QAI720934 QKE720930:QKE720934 QUA720930:QUA720934 RDW720930:RDW720934 RNS720930:RNS720934 RXO720930:RXO720934 SHK720930:SHK720934 SRG720930:SRG720934 TBC720930:TBC720934 TKY720930:TKY720934 TUU720930:TUU720934 UEQ720930:UEQ720934 UOM720930:UOM720934 UYI720930:UYI720934 VIE720930:VIE720934 VSA720930:VSA720934 WBW720930:WBW720934 WLS720930:WLS720934 WVO720930:WVO720934 G786466:G786470 JC786466:JC786470 SY786466:SY786470 ACU786466:ACU786470 AMQ786466:AMQ786470 AWM786466:AWM786470 BGI786466:BGI786470 BQE786466:BQE786470 CAA786466:CAA786470 CJW786466:CJW786470 CTS786466:CTS786470 DDO786466:DDO786470 DNK786466:DNK786470 DXG786466:DXG786470 EHC786466:EHC786470 EQY786466:EQY786470 FAU786466:FAU786470 FKQ786466:FKQ786470 FUM786466:FUM786470 GEI786466:GEI786470 GOE786466:GOE786470 GYA786466:GYA786470 HHW786466:HHW786470 HRS786466:HRS786470 IBO786466:IBO786470 ILK786466:ILK786470 IVG786466:IVG786470 JFC786466:JFC786470 JOY786466:JOY786470 JYU786466:JYU786470 KIQ786466:KIQ786470 KSM786466:KSM786470 LCI786466:LCI786470 LME786466:LME786470 LWA786466:LWA786470 MFW786466:MFW786470 MPS786466:MPS786470 MZO786466:MZO786470 NJK786466:NJK786470 NTG786466:NTG786470 ODC786466:ODC786470 OMY786466:OMY786470 OWU786466:OWU786470 PGQ786466:PGQ786470 PQM786466:PQM786470 QAI786466:QAI786470 QKE786466:QKE786470 QUA786466:QUA786470 RDW786466:RDW786470 RNS786466:RNS786470 RXO786466:RXO786470 SHK786466:SHK786470 SRG786466:SRG786470 TBC786466:TBC786470 TKY786466:TKY786470 TUU786466:TUU786470 UEQ786466:UEQ786470 UOM786466:UOM786470 UYI786466:UYI786470 VIE786466:VIE786470 VSA786466:VSA786470 WBW786466:WBW786470 WLS786466:WLS786470 WVO786466:WVO786470 G852002:G852006 JC852002:JC852006 SY852002:SY852006 ACU852002:ACU852006 AMQ852002:AMQ852006 AWM852002:AWM852006 BGI852002:BGI852006 BQE852002:BQE852006 CAA852002:CAA852006 CJW852002:CJW852006 CTS852002:CTS852006 DDO852002:DDO852006 DNK852002:DNK852006 DXG852002:DXG852006 EHC852002:EHC852006 EQY852002:EQY852006 FAU852002:FAU852006 FKQ852002:FKQ852006 FUM852002:FUM852006 GEI852002:GEI852006 GOE852002:GOE852006 GYA852002:GYA852006 HHW852002:HHW852006 HRS852002:HRS852006 IBO852002:IBO852006 ILK852002:ILK852006 IVG852002:IVG852006 JFC852002:JFC852006 JOY852002:JOY852006 JYU852002:JYU852006 KIQ852002:KIQ852006 KSM852002:KSM852006 LCI852002:LCI852006 LME852002:LME852006 LWA852002:LWA852006 MFW852002:MFW852006 MPS852002:MPS852006 MZO852002:MZO852006 NJK852002:NJK852006 NTG852002:NTG852006 ODC852002:ODC852006 OMY852002:OMY852006 OWU852002:OWU852006 PGQ852002:PGQ852006 PQM852002:PQM852006 QAI852002:QAI852006 QKE852002:QKE852006 QUA852002:QUA852006 RDW852002:RDW852006 RNS852002:RNS852006 RXO852002:RXO852006 SHK852002:SHK852006 SRG852002:SRG852006 TBC852002:TBC852006 TKY852002:TKY852006 TUU852002:TUU852006 UEQ852002:UEQ852006 UOM852002:UOM852006 UYI852002:UYI852006 VIE852002:VIE852006 VSA852002:VSA852006 WBW852002:WBW852006 WLS852002:WLS852006 WVO852002:WVO852006 G917538:G917542 JC917538:JC917542 SY917538:SY917542 ACU917538:ACU917542 AMQ917538:AMQ917542 AWM917538:AWM917542 BGI917538:BGI917542 BQE917538:BQE917542 CAA917538:CAA917542 CJW917538:CJW917542 CTS917538:CTS917542 DDO917538:DDO917542 DNK917538:DNK917542 DXG917538:DXG917542 EHC917538:EHC917542 EQY917538:EQY917542 FAU917538:FAU917542 FKQ917538:FKQ917542 FUM917538:FUM917542 GEI917538:GEI917542 GOE917538:GOE917542 GYA917538:GYA917542 HHW917538:HHW917542 HRS917538:HRS917542 IBO917538:IBO917542 ILK917538:ILK917542 IVG917538:IVG917542 JFC917538:JFC917542 JOY917538:JOY917542 JYU917538:JYU917542 KIQ917538:KIQ917542 KSM917538:KSM917542 LCI917538:LCI917542 LME917538:LME917542 LWA917538:LWA917542 MFW917538:MFW917542 MPS917538:MPS917542 MZO917538:MZO917542 NJK917538:NJK917542 NTG917538:NTG917542 ODC917538:ODC917542 OMY917538:OMY917542 OWU917538:OWU917542 PGQ917538:PGQ917542 PQM917538:PQM917542 QAI917538:QAI917542 QKE917538:QKE917542 QUA917538:QUA917542 RDW917538:RDW917542 RNS917538:RNS917542 RXO917538:RXO917542 SHK917538:SHK917542 SRG917538:SRG917542 TBC917538:TBC917542 TKY917538:TKY917542 TUU917538:TUU917542 UEQ917538:UEQ917542 UOM917538:UOM917542 UYI917538:UYI917542 VIE917538:VIE917542 VSA917538:VSA917542 WBW917538:WBW917542 WLS917538:WLS917542 WVO917538:WVO917542 G983074:G983078 JC983074:JC983078 SY983074:SY983078 ACU983074:ACU983078 AMQ983074:AMQ983078 AWM983074:AWM983078 BGI983074:BGI983078 BQE983074:BQE983078 CAA983074:CAA983078 CJW983074:CJW983078 CTS983074:CTS983078 DDO983074:DDO983078 DNK983074:DNK983078 DXG983074:DXG983078 EHC983074:EHC983078 EQY983074:EQY983078 FAU983074:FAU983078 FKQ983074:FKQ983078 FUM983074:FUM983078 GEI983074:GEI983078 GOE983074:GOE983078 GYA983074:GYA983078 HHW983074:HHW983078 HRS983074:HRS983078 IBO983074:IBO983078 ILK983074:ILK983078 IVG983074:IVG983078 JFC983074:JFC983078 JOY983074:JOY983078 JYU983074:JYU983078 KIQ983074:KIQ983078 KSM983074:KSM983078 LCI983074:LCI983078 LME983074:LME983078 LWA983074:LWA983078 MFW983074:MFW983078 MPS983074:MPS983078 MZO983074:MZO983078 NJK983074:NJK983078 NTG983074:NTG983078 ODC983074:ODC983078 OMY983074:OMY983078 OWU983074:OWU983078 PGQ983074:PGQ983078 PQM983074:PQM983078 QAI983074:QAI983078 QKE983074:QKE983078 QUA983074:QUA983078 RDW983074:RDW983078 RNS983074:RNS983078 RXO983074:RXO983078 SHK983074:SHK983078 SRG983074:SRG983078 TBC983074:TBC983078 TKY983074:TKY983078 TUU983074:TUU983078 UEQ983074:UEQ983078 UOM983074:UOM983078 UYI983074:UYI983078 VIE983074:VIE983078 VSA983074:VSA983078 WBW983074:WBW983078 WLS983074:WLS983078 WVO983074:WVO983078">
      <formula1>K34</formula1>
      <formula2>L34</formula2>
    </dataValidation>
    <dataValidation type="list" allowBlank="1" showInputMessage="1" showErrorMessage="1"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formula1>$M$33:$M$38</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ENCARGOS</formula1>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BASEDECALCULO</formula1>
    </dataValidation>
    <dataValidation type="list" allowBlank="1" showInputMessage="1" showErrorMessage="1" sqref="B14:D15 IX14:IZ15 ST14:SV15 ACP14:ACR15 AML14:AMN15 AWH14:AWJ15 BGD14:BGF15 BPZ14:BQB15 BZV14:BZX15 CJR14:CJT15 CTN14:CTP15 DDJ14:DDL15 DNF14:DNH15 DXB14:DXD15 EGX14:EGZ15 EQT14:EQV15 FAP14:FAR15 FKL14:FKN15 FUH14:FUJ15 GED14:GEF15 GNZ14:GOB15 GXV14:GXX15 HHR14:HHT15 HRN14:HRP15 IBJ14:IBL15 ILF14:ILH15 IVB14:IVD15 JEX14:JEZ15 JOT14:JOV15 JYP14:JYR15 KIL14:KIN15 KSH14:KSJ15 LCD14:LCF15 LLZ14:LMB15 LVV14:LVX15 MFR14:MFT15 MPN14:MPP15 MZJ14:MZL15 NJF14:NJH15 NTB14:NTD15 OCX14:OCZ15 OMT14:OMV15 OWP14:OWR15 PGL14:PGN15 PQH14:PQJ15 QAD14:QAF15 QJZ14:QKB15 QTV14:QTX15 RDR14:RDT15 RNN14:RNP15 RXJ14:RXL15 SHF14:SHH15 SRB14:SRD15 TAX14:TAZ15 TKT14:TKV15 TUP14:TUR15 UEL14:UEN15 UOH14:UOJ15 UYD14:UYF15 VHZ14:VIB15 VRV14:VRX15 WBR14:WBT15 WLN14:WLP15 WVJ14:WVL15 B65550:D65551 IX65550:IZ65551 ST65550:SV65551 ACP65550:ACR65551 AML65550:AMN65551 AWH65550:AWJ65551 BGD65550:BGF65551 BPZ65550:BQB65551 BZV65550:BZX65551 CJR65550:CJT65551 CTN65550:CTP65551 DDJ65550:DDL65551 DNF65550:DNH65551 DXB65550:DXD65551 EGX65550:EGZ65551 EQT65550:EQV65551 FAP65550:FAR65551 FKL65550:FKN65551 FUH65550:FUJ65551 GED65550:GEF65551 GNZ65550:GOB65551 GXV65550:GXX65551 HHR65550:HHT65551 HRN65550:HRP65551 IBJ65550:IBL65551 ILF65550:ILH65551 IVB65550:IVD65551 JEX65550:JEZ65551 JOT65550:JOV65551 JYP65550:JYR65551 KIL65550:KIN65551 KSH65550:KSJ65551 LCD65550:LCF65551 LLZ65550:LMB65551 LVV65550:LVX65551 MFR65550:MFT65551 MPN65550:MPP65551 MZJ65550:MZL65551 NJF65550:NJH65551 NTB65550:NTD65551 OCX65550:OCZ65551 OMT65550:OMV65551 OWP65550:OWR65551 PGL65550:PGN65551 PQH65550:PQJ65551 QAD65550:QAF65551 QJZ65550:QKB65551 QTV65550:QTX65551 RDR65550:RDT65551 RNN65550:RNP65551 RXJ65550:RXL65551 SHF65550:SHH65551 SRB65550:SRD65551 TAX65550:TAZ65551 TKT65550:TKV65551 TUP65550:TUR65551 UEL65550:UEN65551 UOH65550:UOJ65551 UYD65550:UYF65551 VHZ65550:VIB65551 VRV65550:VRX65551 WBR65550:WBT65551 WLN65550:WLP65551 WVJ65550:WVL65551 B131086:D131087 IX131086:IZ131087 ST131086:SV131087 ACP131086:ACR131087 AML131086:AMN131087 AWH131086:AWJ131087 BGD131086:BGF131087 BPZ131086:BQB131087 BZV131086:BZX131087 CJR131086:CJT131087 CTN131086:CTP131087 DDJ131086:DDL131087 DNF131086:DNH131087 DXB131086:DXD131087 EGX131086:EGZ131087 EQT131086:EQV131087 FAP131086:FAR131087 FKL131086:FKN131087 FUH131086:FUJ131087 GED131086:GEF131087 GNZ131086:GOB131087 GXV131086:GXX131087 HHR131086:HHT131087 HRN131086:HRP131087 IBJ131086:IBL131087 ILF131086:ILH131087 IVB131086:IVD131087 JEX131086:JEZ131087 JOT131086:JOV131087 JYP131086:JYR131087 KIL131086:KIN131087 KSH131086:KSJ131087 LCD131086:LCF131087 LLZ131086:LMB131087 LVV131086:LVX131087 MFR131086:MFT131087 MPN131086:MPP131087 MZJ131086:MZL131087 NJF131086:NJH131087 NTB131086:NTD131087 OCX131086:OCZ131087 OMT131086:OMV131087 OWP131086:OWR131087 PGL131086:PGN131087 PQH131086:PQJ131087 QAD131086:QAF131087 QJZ131086:QKB131087 QTV131086:QTX131087 RDR131086:RDT131087 RNN131086:RNP131087 RXJ131086:RXL131087 SHF131086:SHH131087 SRB131086:SRD131087 TAX131086:TAZ131087 TKT131086:TKV131087 TUP131086:TUR131087 UEL131086:UEN131087 UOH131086:UOJ131087 UYD131086:UYF131087 VHZ131086:VIB131087 VRV131086:VRX131087 WBR131086:WBT131087 WLN131086:WLP131087 WVJ131086:WVL131087 B196622:D196623 IX196622:IZ196623 ST196622:SV196623 ACP196622:ACR196623 AML196622:AMN196623 AWH196622:AWJ196623 BGD196622:BGF196623 BPZ196622:BQB196623 BZV196622:BZX196623 CJR196622:CJT196623 CTN196622:CTP196623 DDJ196622:DDL196623 DNF196622:DNH196623 DXB196622:DXD196623 EGX196622:EGZ196623 EQT196622:EQV196623 FAP196622:FAR196623 FKL196622:FKN196623 FUH196622:FUJ196623 GED196622:GEF196623 GNZ196622:GOB196623 GXV196622:GXX196623 HHR196622:HHT196623 HRN196622:HRP196623 IBJ196622:IBL196623 ILF196622:ILH196623 IVB196622:IVD196623 JEX196622:JEZ196623 JOT196622:JOV196623 JYP196622:JYR196623 KIL196622:KIN196623 KSH196622:KSJ196623 LCD196622:LCF196623 LLZ196622:LMB196623 LVV196622:LVX196623 MFR196622:MFT196623 MPN196622:MPP196623 MZJ196622:MZL196623 NJF196622:NJH196623 NTB196622:NTD196623 OCX196622:OCZ196623 OMT196622:OMV196623 OWP196622:OWR196623 PGL196622:PGN196623 PQH196622:PQJ196623 QAD196622:QAF196623 QJZ196622:QKB196623 QTV196622:QTX196623 RDR196622:RDT196623 RNN196622:RNP196623 RXJ196622:RXL196623 SHF196622:SHH196623 SRB196622:SRD196623 TAX196622:TAZ196623 TKT196622:TKV196623 TUP196622:TUR196623 UEL196622:UEN196623 UOH196622:UOJ196623 UYD196622:UYF196623 VHZ196622:VIB196623 VRV196622:VRX196623 WBR196622:WBT196623 WLN196622:WLP196623 WVJ196622:WVL196623 B262158:D262159 IX262158:IZ262159 ST262158:SV262159 ACP262158:ACR262159 AML262158:AMN262159 AWH262158:AWJ262159 BGD262158:BGF262159 BPZ262158:BQB262159 BZV262158:BZX262159 CJR262158:CJT262159 CTN262158:CTP262159 DDJ262158:DDL262159 DNF262158:DNH262159 DXB262158:DXD262159 EGX262158:EGZ262159 EQT262158:EQV262159 FAP262158:FAR262159 FKL262158:FKN262159 FUH262158:FUJ262159 GED262158:GEF262159 GNZ262158:GOB262159 GXV262158:GXX262159 HHR262158:HHT262159 HRN262158:HRP262159 IBJ262158:IBL262159 ILF262158:ILH262159 IVB262158:IVD262159 JEX262158:JEZ262159 JOT262158:JOV262159 JYP262158:JYR262159 KIL262158:KIN262159 KSH262158:KSJ262159 LCD262158:LCF262159 LLZ262158:LMB262159 LVV262158:LVX262159 MFR262158:MFT262159 MPN262158:MPP262159 MZJ262158:MZL262159 NJF262158:NJH262159 NTB262158:NTD262159 OCX262158:OCZ262159 OMT262158:OMV262159 OWP262158:OWR262159 PGL262158:PGN262159 PQH262158:PQJ262159 QAD262158:QAF262159 QJZ262158:QKB262159 QTV262158:QTX262159 RDR262158:RDT262159 RNN262158:RNP262159 RXJ262158:RXL262159 SHF262158:SHH262159 SRB262158:SRD262159 TAX262158:TAZ262159 TKT262158:TKV262159 TUP262158:TUR262159 UEL262158:UEN262159 UOH262158:UOJ262159 UYD262158:UYF262159 VHZ262158:VIB262159 VRV262158:VRX262159 WBR262158:WBT262159 WLN262158:WLP262159 WVJ262158:WVL262159 B327694:D327695 IX327694:IZ327695 ST327694:SV327695 ACP327694:ACR327695 AML327694:AMN327695 AWH327694:AWJ327695 BGD327694:BGF327695 BPZ327694:BQB327695 BZV327694:BZX327695 CJR327694:CJT327695 CTN327694:CTP327695 DDJ327694:DDL327695 DNF327694:DNH327695 DXB327694:DXD327695 EGX327694:EGZ327695 EQT327694:EQV327695 FAP327694:FAR327695 FKL327694:FKN327695 FUH327694:FUJ327695 GED327694:GEF327695 GNZ327694:GOB327695 GXV327694:GXX327695 HHR327694:HHT327695 HRN327694:HRP327695 IBJ327694:IBL327695 ILF327694:ILH327695 IVB327694:IVD327695 JEX327694:JEZ327695 JOT327694:JOV327695 JYP327694:JYR327695 KIL327694:KIN327695 KSH327694:KSJ327695 LCD327694:LCF327695 LLZ327694:LMB327695 LVV327694:LVX327695 MFR327694:MFT327695 MPN327694:MPP327695 MZJ327694:MZL327695 NJF327694:NJH327695 NTB327694:NTD327695 OCX327694:OCZ327695 OMT327694:OMV327695 OWP327694:OWR327695 PGL327694:PGN327695 PQH327694:PQJ327695 QAD327694:QAF327695 QJZ327694:QKB327695 QTV327694:QTX327695 RDR327694:RDT327695 RNN327694:RNP327695 RXJ327694:RXL327695 SHF327694:SHH327695 SRB327694:SRD327695 TAX327694:TAZ327695 TKT327694:TKV327695 TUP327694:TUR327695 UEL327694:UEN327695 UOH327694:UOJ327695 UYD327694:UYF327695 VHZ327694:VIB327695 VRV327694:VRX327695 WBR327694:WBT327695 WLN327694:WLP327695 WVJ327694:WVL327695 B393230:D393231 IX393230:IZ393231 ST393230:SV393231 ACP393230:ACR393231 AML393230:AMN393231 AWH393230:AWJ393231 BGD393230:BGF393231 BPZ393230:BQB393231 BZV393230:BZX393231 CJR393230:CJT393231 CTN393230:CTP393231 DDJ393230:DDL393231 DNF393230:DNH393231 DXB393230:DXD393231 EGX393230:EGZ393231 EQT393230:EQV393231 FAP393230:FAR393231 FKL393230:FKN393231 FUH393230:FUJ393231 GED393230:GEF393231 GNZ393230:GOB393231 GXV393230:GXX393231 HHR393230:HHT393231 HRN393230:HRP393231 IBJ393230:IBL393231 ILF393230:ILH393231 IVB393230:IVD393231 JEX393230:JEZ393231 JOT393230:JOV393231 JYP393230:JYR393231 KIL393230:KIN393231 KSH393230:KSJ393231 LCD393230:LCF393231 LLZ393230:LMB393231 LVV393230:LVX393231 MFR393230:MFT393231 MPN393230:MPP393231 MZJ393230:MZL393231 NJF393230:NJH393231 NTB393230:NTD393231 OCX393230:OCZ393231 OMT393230:OMV393231 OWP393230:OWR393231 PGL393230:PGN393231 PQH393230:PQJ393231 QAD393230:QAF393231 QJZ393230:QKB393231 QTV393230:QTX393231 RDR393230:RDT393231 RNN393230:RNP393231 RXJ393230:RXL393231 SHF393230:SHH393231 SRB393230:SRD393231 TAX393230:TAZ393231 TKT393230:TKV393231 TUP393230:TUR393231 UEL393230:UEN393231 UOH393230:UOJ393231 UYD393230:UYF393231 VHZ393230:VIB393231 VRV393230:VRX393231 WBR393230:WBT393231 WLN393230:WLP393231 WVJ393230:WVL393231 B458766:D458767 IX458766:IZ458767 ST458766:SV458767 ACP458766:ACR458767 AML458766:AMN458767 AWH458766:AWJ458767 BGD458766:BGF458767 BPZ458766:BQB458767 BZV458766:BZX458767 CJR458766:CJT458767 CTN458766:CTP458767 DDJ458766:DDL458767 DNF458766:DNH458767 DXB458766:DXD458767 EGX458766:EGZ458767 EQT458766:EQV458767 FAP458766:FAR458767 FKL458766:FKN458767 FUH458766:FUJ458767 GED458766:GEF458767 GNZ458766:GOB458767 GXV458766:GXX458767 HHR458766:HHT458767 HRN458766:HRP458767 IBJ458766:IBL458767 ILF458766:ILH458767 IVB458766:IVD458767 JEX458766:JEZ458767 JOT458766:JOV458767 JYP458766:JYR458767 KIL458766:KIN458767 KSH458766:KSJ458767 LCD458766:LCF458767 LLZ458766:LMB458767 LVV458766:LVX458767 MFR458766:MFT458767 MPN458766:MPP458767 MZJ458766:MZL458767 NJF458766:NJH458767 NTB458766:NTD458767 OCX458766:OCZ458767 OMT458766:OMV458767 OWP458766:OWR458767 PGL458766:PGN458767 PQH458766:PQJ458767 QAD458766:QAF458767 QJZ458766:QKB458767 QTV458766:QTX458767 RDR458766:RDT458767 RNN458766:RNP458767 RXJ458766:RXL458767 SHF458766:SHH458767 SRB458766:SRD458767 TAX458766:TAZ458767 TKT458766:TKV458767 TUP458766:TUR458767 UEL458766:UEN458767 UOH458766:UOJ458767 UYD458766:UYF458767 VHZ458766:VIB458767 VRV458766:VRX458767 WBR458766:WBT458767 WLN458766:WLP458767 WVJ458766:WVL458767 B524302:D524303 IX524302:IZ524303 ST524302:SV524303 ACP524302:ACR524303 AML524302:AMN524303 AWH524302:AWJ524303 BGD524302:BGF524303 BPZ524302:BQB524303 BZV524302:BZX524303 CJR524302:CJT524303 CTN524302:CTP524303 DDJ524302:DDL524303 DNF524302:DNH524303 DXB524302:DXD524303 EGX524302:EGZ524303 EQT524302:EQV524303 FAP524302:FAR524303 FKL524302:FKN524303 FUH524302:FUJ524303 GED524302:GEF524303 GNZ524302:GOB524303 GXV524302:GXX524303 HHR524302:HHT524303 HRN524302:HRP524303 IBJ524302:IBL524303 ILF524302:ILH524303 IVB524302:IVD524303 JEX524302:JEZ524303 JOT524302:JOV524303 JYP524302:JYR524303 KIL524302:KIN524303 KSH524302:KSJ524303 LCD524302:LCF524303 LLZ524302:LMB524303 LVV524302:LVX524303 MFR524302:MFT524303 MPN524302:MPP524303 MZJ524302:MZL524303 NJF524302:NJH524303 NTB524302:NTD524303 OCX524302:OCZ524303 OMT524302:OMV524303 OWP524302:OWR524303 PGL524302:PGN524303 PQH524302:PQJ524303 QAD524302:QAF524303 QJZ524302:QKB524303 QTV524302:QTX524303 RDR524302:RDT524303 RNN524302:RNP524303 RXJ524302:RXL524303 SHF524302:SHH524303 SRB524302:SRD524303 TAX524302:TAZ524303 TKT524302:TKV524303 TUP524302:TUR524303 UEL524302:UEN524303 UOH524302:UOJ524303 UYD524302:UYF524303 VHZ524302:VIB524303 VRV524302:VRX524303 WBR524302:WBT524303 WLN524302:WLP524303 WVJ524302:WVL524303 B589838:D589839 IX589838:IZ589839 ST589838:SV589839 ACP589838:ACR589839 AML589838:AMN589839 AWH589838:AWJ589839 BGD589838:BGF589839 BPZ589838:BQB589839 BZV589838:BZX589839 CJR589838:CJT589839 CTN589838:CTP589839 DDJ589838:DDL589839 DNF589838:DNH589839 DXB589838:DXD589839 EGX589838:EGZ589839 EQT589838:EQV589839 FAP589838:FAR589839 FKL589838:FKN589839 FUH589838:FUJ589839 GED589838:GEF589839 GNZ589838:GOB589839 GXV589838:GXX589839 HHR589838:HHT589839 HRN589838:HRP589839 IBJ589838:IBL589839 ILF589838:ILH589839 IVB589838:IVD589839 JEX589838:JEZ589839 JOT589838:JOV589839 JYP589838:JYR589839 KIL589838:KIN589839 KSH589838:KSJ589839 LCD589838:LCF589839 LLZ589838:LMB589839 LVV589838:LVX589839 MFR589838:MFT589839 MPN589838:MPP589839 MZJ589838:MZL589839 NJF589838:NJH589839 NTB589838:NTD589839 OCX589838:OCZ589839 OMT589838:OMV589839 OWP589838:OWR589839 PGL589838:PGN589839 PQH589838:PQJ589839 QAD589838:QAF589839 QJZ589838:QKB589839 QTV589838:QTX589839 RDR589838:RDT589839 RNN589838:RNP589839 RXJ589838:RXL589839 SHF589838:SHH589839 SRB589838:SRD589839 TAX589838:TAZ589839 TKT589838:TKV589839 TUP589838:TUR589839 UEL589838:UEN589839 UOH589838:UOJ589839 UYD589838:UYF589839 VHZ589838:VIB589839 VRV589838:VRX589839 WBR589838:WBT589839 WLN589838:WLP589839 WVJ589838:WVL589839 B655374:D655375 IX655374:IZ655375 ST655374:SV655375 ACP655374:ACR655375 AML655374:AMN655375 AWH655374:AWJ655375 BGD655374:BGF655375 BPZ655374:BQB655375 BZV655374:BZX655375 CJR655374:CJT655375 CTN655374:CTP655375 DDJ655374:DDL655375 DNF655374:DNH655375 DXB655374:DXD655375 EGX655374:EGZ655375 EQT655374:EQV655375 FAP655374:FAR655375 FKL655374:FKN655375 FUH655374:FUJ655375 GED655374:GEF655375 GNZ655374:GOB655375 GXV655374:GXX655375 HHR655374:HHT655375 HRN655374:HRP655375 IBJ655374:IBL655375 ILF655374:ILH655375 IVB655374:IVD655375 JEX655374:JEZ655375 JOT655374:JOV655375 JYP655374:JYR655375 KIL655374:KIN655375 KSH655374:KSJ655375 LCD655374:LCF655375 LLZ655374:LMB655375 LVV655374:LVX655375 MFR655374:MFT655375 MPN655374:MPP655375 MZJ655374:MZL655375 NJF655374:NJH655375 NTB655374:NTD655375 OCX655374:OCZ655375 OMT655374:OMV655375 OWP655374:OWR655375 PGL655374:PGN655375 PQH655374:PQJ655375 QAD655374:QAF655375 QJZ655374:QKB655375 QTV655374:QTX655375 RDR655374:RDT655375 RNN655374:RNP655375 RXJ655374:RXL655375 SHF655374:SHH655375 SRB655374:SRD655375 TAX655374:TAZ655375 TKT655374:TKV655375 TUP655374:TUR655375 UEL655374:UEN655375 UOH655374:UOJ655375 UYD655374:UYF655375 VHZ655374:VIB655375 VRV655374:VRX655375 WBR655374:WBT655375 WLN655374:WLP655375 WVJ655374:WVL655375 B720910:D720911 IX720910:IZ720911 ST720910:SV720911 ACP720910:ACR720911 AML720910:AMN720911 AWH720910:AWJ720911 BGD720910:BGF720911 BPZ720910:BQB720911 BZV720910:BZX720911 CJR720910:CJT720911 CTN720910:CTP720911 DDJ720910:DDL720911 DNF720910:DNH720911 DXB720910:DXD720911 EGX720910:EGZ720911 EQT720910:EQV720911 FAP720910:FAR720911 FKL720910:FKN720911 FUH720910:FUJ720911 GED720910:GEF720911 GNZ720910:GOB720911 GXV720910:GXX720911 HHR720910:HHT720911 HRN720910:HRP720911 IBJ720910:IBL720911 ILF720910:ILH720911 IVB720910:IVD720911 JEX720910:JEZ720911 JOT720910:JOV720911 JYP720910:JYR720911 KIL720910:KIN720911 KSH720910:KSJ720911 LCD720910:LCF720911 LLZ720910:LMB720911 LVV720910:LVX720911 MFR720910:MFT720911 MPN720910:MPP720911 MZJ720910:MZL720911 NJF720910:NJH720911 NTB720910:NTD720911 OCX720910:OCZ720911 OMT720910:OMV720911 OWP720910:OWR720911 PGL720910:PGN720911 PQH720910:PQJ720911 QAD720910:QAF720911 QJZ720910:QKB720911 QTV720910:QTX720911 RDR720910:RDT720911 RNN720910:RNP720911 RXJ720910:RXL720911 SHF720910:SHH720911 SRB720910:SRD720911 TAX720910:TAZ720911 TKT720910:TKV720911 TUP720910:TUR720911 UEL720910:UEN720911 UOH720910:UOJ720911 UYD720910:UYF720911 VHZ720910:VIB720911 VRV720910:VRX720911 WBR720910:WBT720911 WLN720910:WLP720911 WVJ720910:WVL720911 B786446:D786447 IX786446:IZ786447 ST786446:SV786447 ACP786446:ACR786447 AML786446:AMN786447 AWH786446:AWJ786447 BGD786446:BGF786447 BPZ786446:BQB786447 BZV786446:BZX786447 CJR786446:CJT786447 CTN786446:CTP786447 DDJ786446:DDL786447 DNF786446:DNH786447 DXB786446:DXD786447 EGX786446:EGZ786447 EQT786446:EQV786447 FAP786446:FAR786447 FKL786446:FKN786447 FUH786446:FUJ786447 GED786446:GEF786447 GNZ786446:GOB786447 GXV786446:GXX786447 HHR786446:HHT786447 HRN786446:HRP786447 IBJ786446:IBL786447 ILF786446:ILH786447 IVB786446:IVD786447 JEX786446:JEZ786447 JOT786446:JOV786447 JYP786446:JYR786447 KIL786446:KIN786447 KSH786446:KSJ786447 LCD786446:LCF786447 LLZ786446:LMB786447 LVV786446:LVX786447 MFR786446:MFT786447 MPN786446:MPP786447 MZJ786446:MZL786447 NJF786446:NJH786447 NTB786446:NTD786447 OCX786446:OCZ786447 OMT786446:OMV786447 OWP786446:OWR786447 PGL786446:PGN786447 PQH786446:PQJ786447 QAD786446:QAF786447 QJZ786446:QKB786447 QTV786446:QTX786447 RDR786446:RDT786447 RNN786446:RNP786447 RXJ786446:RXL786447 SHF786446:SHH786447 SRB786446:SRD786447 TAX786446:TAZ786447 TKT786446:TKV786447 TUP786446:TUR786447 UEL786446:UEN786447 UOH786446:UOJ786447 UYD786446:UYF786447 VHZ786446:VIB786447 VRV786446:VRX786447 WBR786446:WBT786447 WLN786446:WLP786447 WVJ786446:WVL786447 B851982:D851983 IX851982:IZ851983 ST851982:SV851983 ACP851982:ACR851983 AML851982:AMN851983 AWH851982:AWJ851983 BGD851982:BGF851983 BPZ851982:BQB851983 BZV851982:BZX851983 CJR851982:CJT851983 CTN851982:CTP851983 DDJ851982:DDL851983 DNF851982:DNH851983 DXB851982:DXD851983 EGX851982:EGZ851983 EQT851982:EQV851983 FAP851982:FAR851983 FKL851982:FKN851983 FUH851982:FUJ851983 GED851982:GEF851983 GNZ851982:GOB851983 GXV851982:GXX851983 HHR851982:HHT851983 HRN851982:HRP851983 IBJ851982:IBL851983 ILF851982:ILH851983 IVB851982:IVD851983 JEX851982:JEZ851983 JOT851982:JOV851983 JYP851982:JYR851983 KIL851982:KIN851983 KSH851982:KSJ851983 LCD851982:LCF851983 LLZ851982:LMB851983 LVV851982:LVX851983 MFR851982:MFT851983 MPN851982:MPP851983 MZJ851982:MZL851983 NJF851982:NJH851983 NTB851982:NTD851983 OCX851982:OCZ851983 OMT851982:OMV851983 OWP851982:OWR851983 PGL851982:PGN851983 PQH851982:PQJ851983 QAD851982:QAF851983 QJZ851982:QKB851983 QTV851982:QTX851983 RDR851982:RDT851983 RNN851982:RNP851983 RXJ851982:RXL851983 SHF851982:SHH851983 SRB851982:SRD851983 TAX851982:TAZ851983 TKT851982:TKV851983 TUP851982:TUR851983 UEL851982:UEN851983 UOH851982:UOJ851983 UYD851982:UYF851983 VHZ851982:VIB851983 VRV851982:VRX851983 WBR851982:WBT851983 WLN851982:WLP851983 WVJ851982:WVL851983 B917518:D917519 IX917518:IZ917519 ST917518:SV917519 ACP917518:ACR917519 AML917518:AMN917519 AWH917518:AWJ917519 BGD917518:BGF917519 BPZ917518:BQB917519 BZV917518:BZX917519 CJR917518:CJT917519 CTN917518:CTP917519 DDJ917518:DDL917519 DNF917518:DNH917519 DXB917518:DXD917519 EGX917518:EGZ917519 EQT917518:EQV917519 FAP917518:FAR917519 FKL917518:FKN917519 FUH917518:FUJ917519 GED917518:GEF917519 GNZ917518:GOB917519 GXV917518:GXX917519 HHR917518:HHT917519 HRN917518:HRP917519 IBJ917518:IBL917519 ILF917518:ILH917519 IVB917518:IVD917519 JEX917518:JEZ917519 JOT917518:JOV917519 JYP917518:JYR917519 KIL917518:KIN917519 KSH917518:KSJ917519 LCD917518:LCF917519 LLZ917518:LMB917519 LVV917518:LVX917519 MFR917518:MFT917519 MPN917518:MPP917519 MZJ917518:MZL917519 NJF917518:NJH917519 NTB917518:NTD917519 OCX917518:OCZ917519 OMT917518:OMV917519 OWP917518:OWR917519 PGL917518:PGN917519 PQH917518:PQJ917519 QAD917518:QAF917519 QJZ917518:QKB917519 QTV917518:QTX917519 RDR917518:RDT917519 RNN917518:RNP917519 RXJ917518:RXL917519 SHF917518:SHH917519 SRB917518:SRD917519 TAX917518:TAZ917519 TKT917518:TKV917519 TUP917518:TUR917519 UEL917518:UEN917519 UOH917518:UOJ917519 UYD917518:UYF917519 VHZ917518:VIB917519 VRV917518:VRX917519 WBR917518:WBT917519 WLN917518:WLP917519 WVJ917518:WVL917519 B983054:D983055 IX983054:IZ983055 ST983054:SV983055 ACP983054:ACR983055 AML983054:AMN983055 AWH983054:AWJ983055 BGD983054:BGF983055 BPZ983054:BQB983055 BZV983054:BZX983055 CJR983054:CJT983055 CTN983054:CTP983055 DDJ983054:DDL983055 DNF983054:DNH983055 DXB983054:DXD983055 EGX983054:EGZ983055 EQT983054:EQV983055 FAP983054:FAR983055 FKL983054:FKN983055 FUH983054:FUJ983055 GED983054:GEF983055 GNZ983054:GOB983055 GXV983054:GXX983055 HHR983054:HHT983055 HRN983054:HRP983055 IBJ983054:IBL983055 ILF983054:ILH983055 IVB983054:IVD983055 JEX983054:JEZ983055 JOT983054:JOV983055 JYP983054:JYR983055 KIL983054:KIN983055 KSH983054:KSJ983055 LCD983054:LCF983055 LLZ983054:LMB983055 LVV983054:LVX983055 MFR983054:MFT983055 MPN983054:MPP983055 MZJ983054:MZL983055 NJF983054:NJH983055 NTB983054:NTD983055 OCX983054:OCZ983055 OMT983054:OMV983055 OWP983054:OWR983055 PGL983054:PGN983055 PQH983054:PQJ983055 QAD983054:QAF983055 QJZ983054:QKB983055 QTV983054:QTX983055 RDR983054:RDT983055 RNN983054:RNP983055 RXJ983054:RXL983055 SHF983054:SHH983055 SRB983054:SRD983055 TAX983054:TAZ983055 TKT983054:TKV983055 TUP983054:TUR983055 UEL983054:UEN983055 UOH983054:UOJ983055 UYD983054:UYF983055 VHZ983054:VIB983055 VRV983054:VRX983055 WBR983054:WBT983055 WLN983054:WLP983055 WVJ983054:WVL983055">
      <formula1>CREACAU</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ente</formula1>
    </dataValidation>
    <dataValidation type="list" allowBlank="1" showInputMessage="1" showErrorMessage="1" sqref="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ormula1>regime</formula1>
    </dataValidation>
  </dataValidations>
  <pageMargins left="0.78740157499999996" right="0.78740157499999996" top="0.984251969" bottom="0.984251969" header="0.49212598499999999" footer="0.49212598499999999"/>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16</vt:i4>
      </vt:variant>
    </vt:vector>
  </HeadingPairs>
  <TitlesOfParts>
    <vt:vector size="26" baseType="lpstr">
      <vt:lpstr>CRONOGRAMA</vt:lpstr>
      <vt:lpstr>RESUMO SERVIÇOS</vt:lpstr>
      <vt:lpstr>ORÇAMENTO</vt:lpstr>
      <vt:lpstr>MEMÓRIA</vt:lpstr>
      <vt:lpstr>COMP.01</vt:lpstr>
      <vt:lpstr>COMP2</vt:lpstr>
      <vt:lpstr>COMP3</vt:lpstr>
      <vt:lpstr>BDI</vt:lpstr>
      <vt:lpstr>PREENCHER</vt:lpstr>
      <vt:lpstr>DECLARAÇÃO</vt:lpstr>
      <vt:lpstr>BDI!Area_de_impressao</vt:lpstr>
      <vt:lpstr>COMP.01!Area_de_impressao</vt:lpstr>
      <vt:lpstr>COMP2!Area_de_impressao</vt:lpstr>
      <vt:lpstr>COMP3!Area_de_impressao</vt:lpstr>
      <vt:lpstr>CRONOGRAMA!Area_de_impressao</vt:lpstr>
      <vt:lpstr>DECLARAÇÃO!Area_de_impressao</vt:lpstr>
      <vt:lpstr>MEMÓRIA!Area_de_impressao</vt:lpstr>
      <vt:lpstr>ORÇAMENTO!Area_de_impressao</vt:lpstr>
      <vt:lpstr>'RESUMO SERVIÇOS'!Area_de_impressao</vt:lpstr>
      <vt:lpstr>BASEDECALCULO</vt:lpstr>
      <vt:lpstr>CREACAU</vt:lpstr>
      <vt:lpstr>ENCARGOS</vt:lpstr>
      <vt:lpstr>ente</vt:lpstr>
      <vt:lpstr>regime</vt:lpstr>
      <vt:lpstr>MEMÓRIA!Titulos_de_impressao</vt:lpstr>
      <vt:lpstr>ORÇAMENTO!Titulos_de_impressao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felipec</dc:creator>
  <cp:lastModifiedBy>Admin</cp:lastModifiedBy>
  <cp:lastPrinted>2019-03-22T04:41:15Z</cp:lastPrinted>
  <dcterms:created xsi:type="dcterms:W3CDTF">2013-11-25T16:40:55Z</dcterms:created>
  <dcterms:modified xsi:type="dcterms:W3CDTF">2019-03-22T12:06:36Z</dcterms:modified>
</cp:coreProperties>
</file>